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660" activeTab="0"/>
  </bookViews>
  <sheets>
    <sheet name="Eval Prog 2000" sheetId="1" r:id="rId1"/>
  </sheets>
  <definedNames>
    <definedName name="_xlnm.Print_Area" localSheetId="0">'Eval Prog 2000'!$B:$J</definedName>
  </definedNames>
  <calcPr fullCalcOnLoad="1"/>
</workbook>
</file>

<file path=xl/sharedStrings.xml><?xml version="1.0" encoding="utf-8"?>
<sst xmlns="http://schemas.openxmlformats.org/spreadsheetml/2006/main" count="196" uniqueCount="154">
  <si>
    <t/>
  </si>
  <si>
    <t>CALCULATIONS OF NUTRIENTS SUPPLIED:</t>
  </si>
  <si>
    <t>COST</t>
  </si>
  <si>
    <t xml:space="preserve">CRUDE </t>
  </si>
  <si>
    <t>CRUDE</t>
  </si>
  <si>
    <t>FEED</t>
  </si>
  <si>
    <t>AS-FED</t>
  </si>
  <si>
    <t>% DRY</t>
  </si>
  <si>
    <t>DRY</t>
  </si>
  <si>
    <t>$/TON</t>
  </si>
  <si>
    <t>CENTS/</t>
  </si>
  <si>
    <t>DOLLARS/</t>
  </si>
  <si>
    <t>TDN</t>
  </si>
  <si>
    <t>PROTEIN</t>
  </si>
  <si>
    <t>FIBER</t>
  </si>
  <si>
    <t>NEmaint</t>
  </si>
  <si>
    <t>NEgain</t>
  </si>
  <si>
    <t>FAT</t>
  </si>
  <si>
    <t>SALT</t>
  </si>
  <si>
    <t>DESCRIPTION</t>
  </si>
  <si>
    <t>LBS.</t>
  </si>
  <si>
    <t>MATTER</t>
  </si>
  <si>
    <t>DRY LB.</t>
  </si>
  <si>
    <t>BATCH</t>
  </si>
  <si>
    <t>%</t>
  </si>
  <si>
    <t>Mcal/lb</t>
  </si>
  <si>
    <t>lb</t>
  </si>
  <si>
    <t>Mcal</t>
  </si>
  <si>
    <t>Corn, cracked</t>
  </si>
  <si>
    <t>Oat, grain</t>
  </si>
  <si>
    <t>Corn, silage</t>
  </si>
  <si>
    <t>Soyhulls</t>
  </si>
  <si>
    <t>Soybean meal</t>
  </si>
  <si>
    <t>Cottonseed meal</t>
  </si>
  <si>
    <t>Limestone</t>
  </si>
  <si>
    <t>Dical phosphate</t>
  </si>
  <si>
    <t>Molasses</t>
  </si>
  <si>
    <t>Whole cottonseed</t>
  </si>
  <si>
    <t>Distiller grains w/sols</t>
  </si>
  <si>
    <t>Hominy feed</t>
  </si>
  <si>
    <t>Salt, TM</t>
  </si>
  <si>
    <t xml:space="preserve">Fat, animal </t>
  </si>
  <si>
    <t>Cottonseed hulls</t>
  </si>
  <si>
    <t>TOTALS:</t>
  </si>
  <si>
    <t>Cents/</t>
  </si>
  <si>
    <t xml:space="preserve">lb DM </t>
  </si>
  <si>
    <t>NUTRIENT COMPOSITION:</t>
  </si>
  <si>
    <t>SUPPLIED</t>
  </si>
  <si>
    <t>DRY MATTER, %</t>
  </si>
  <si>
    <t>TDN, %</t>
  </si>
  <si>
    <t>$/T DRY</t>
  </si>
  <si>
    <t>CRUDE PROTEIN, %</t>
  </si>
  <si>
    <t>$/An/Day</t>
  </si>
  <si>
    <t>CALCIUM, %</t>
  </si>
  <si>
    <t>PHOSPHORUS, %</t>
  </si>
  <si>
    <t>Start WT</t>
  </si>
  <si>
    <t>CA:P RATIO</t>
  </si>
  <si>
    <t>End WT</t>
  </si>
  <si>
    <t>POTASSIUM, %</t>
  </si>
  <si>
    <t>Avg WT</t>
  </si>
  <si>
    <t>CRUDE FIBER, %</t>
  </si>
  <si>
    <t>NEmaint, Mcal/lb.</t>
  </si>
  <si>
    <t>NEgain, Mcal/lb.</t>
  </si>
  <si>
    <t>DMI</t>
  </si>
  <si>
    <t>FAT, %</t>
  </si>
  <si>
    <t>SALT, %</t>
  </si>
  <si>
    <t>EXTRA</t>
  </si>
  <si>
    <t>Kg AVG WT</t>
  </si>
  <si>
    <t>Gain Calculations:</t>
  </si>
  <si>
    <t>Cost/cwt Gain:</t>
  </si>
  <si>
    <t>NE calc of Maint:</t>
  </si>
  <si>
    <t>0.5/day</t>
  </si>
  <si>
    <t>Feed for Maint:</t>
  </si>
  <si>
    <t>0.75/day</t>
  </si>
  <si>
    <t>Feed for Gain:</t>
  </si>
  <si>
    <t>1.0/day</t>
  </si>
  <si>
    <t>Mcal for gain:</t>
  </si>
  <si>
    <t>1.25/day</t>
  </si>
  <si>
    <t>Gain,  lb/day</t>
  </si>
  <si>
    <t>1.5/day</t>
  </si>
  <si>
    <t>1.75/day</t>
  </si>
  <si>
    <t>Under by  10%</t>
  </si>
  <si>
    <t>2.0/day</t>
  </si>
  <si>
    <t>Over by 10%</t>
  </si>
  <si>
    <t>2.25/day</t>
  </si>
  <si>
    <t>2.50/day</t>
  </si>
  <si>
    <t>2.75/day</t>
  </si>
  <si>
    <t>3.0/day</t>
  </si>
  <si>
    <t>3.25/day</t>
  </si>
  <si>
    <t>*Est.</t>
  </si>
  <si>
    <t>* Read note beginning at B75 for details about use of spreadsheet</t>
  </si>
  <si>
    <t>6. Differences calculated in G43 through G54 are for use as guidelines on how well diet meets requirements used</t>
  </si>
  <si>
    <t>8. Input ending weight of animals in I47</t>
  </si>
  <si>
    <t>1. Input amount fed or % of ingredients fed on an "as-fed" basis in column D</t>
  </si>
  <si>
    <t>2. Input % dry matter for ingredients or use default currently listed on program in column E</t>
  </si>
  <si>
    <t>3. Input cost of ingredients in $/ton in column G</t>
  </si>
  <si>
    <t xml:space="preserve">5. Input requirements for animals used in F43 through F54 </t>
  </si>
  <si>
    <t>Note on using spreadsheet:</t>
  </si>
  <si>
    <t xml:space="preserve">7. Input the starting weight of animals in I46 </t>
  </si>
  <si>
    <t>4. Input composition values in columns J through S or use default values listed</t>
  </si>
  <si>
    <t>9. To change spreadsheet to include new ingredients or new nutrients insert the proper rows and columns needed</t>
  </si>
  <si>
    <t>Rice mill feed</t>
  </si>
  <si>
    <t xml:space="preserve">   </t>
  </si>
  <si>
    <t>RATION EVALUATOR - - by Dr. John C. Waller</t>
  </si>
  <si>
    <t>Ca</t>
  </si>
  <si>
    <t>P</t>
  </si>
  <si>
    <t>K</t>
  </si>
  <si>
    <t xml:space="preserve">Citrus pulp </t>
  </si>
  <si>
    <t>Animal  Description:</t>
  </si>
  <si>
    <t>COOP 2&amp;1 (656)</t>
  </si>
  <si>
    <t>Ground hay</t>
  </si>
  <si>
    <t>Brewers grains</t>
  </si>
  <si>
    <t>Corn gluten feed</t>
  </si>
  <si>
    <t>Corn screenings</t>
  </si>
  <si>
    <t>Wheat middlings</t>
  </si>
  <si>
    <t>Cookie meal</t>
  </si>
  <si>
    <t>Cond.brewers solubles</t>
  </si>
  <si>
    <t>All on a Dry Matter Basis</t>
  </si>
  <si>
    <t xml:space="preserve">NUTRIENT COMPOSITION OF FEEDS:    </t>
  </si>
  <si>
    <t>Date of run:</t>
  </si>
  <si>
    <t>CAUTION !  NO SAFETY FACTORS INCLUDED</t>
  </si>
  <si>
    <t>DIFF.</t>
  </si>
  <si>
    <t>Feed Costs:</t>
  </si>
  <si>
    <t>Cost</t>
  </si>
  <si>
    <t>AS-FED LBS.</t>
  </si>
  <si>
    <t xml:space="preserve"> DRY LBS.</t>
  </si>
  <si>
    <t>COST, $/BATCH</t>
  </si>
  <si>
    <t>Underline indicates input needed</t>
  </si>
  <si>
    <t>$/T As Fed</t>
  </si>
  <si>
    <t>Animal</t>
  </si>
  <si>
    <t>Rqt.</t>
  </si>
  <si>
    <t>Name:</t>
  </si>
  <si>
    <t>Protein, %</t>
  </si>
  <si>
    <t xml:space="preserve">Fiber, % </t>
  </si>
  <si>
    <t>min.</t>
  </si>
  <si>
    <t>Calcium, %</t>
  </si>
  <si>
    <t>max.</t>
  </si>
  <si>
    <t xml:space="preserve">Phosphrous, % </t>
  </si>
  <si>
    <t>Potassium, %</t>
  </si>
  <si>
    <t>Fat, %</t>
  </si>
  <si>
    <t>Salt, %</t>
  </si>
  <si>
    <t xml:space="preserve">Candy </t>
  </si>
  <si>
    <t>Sunflower meal</t>
  </si>
  <si>
    <t>JE Blend</t>
  </si>
  <si>
    <t>LBS</t>
  </si>
  <si>
    <t>(@3.0%BW)</t>
  </si>
  <si>
    <t>Extruded Soybean Meal</t>
  </si>
  <si>
    <t>Alfalfa Hay</t>
  </si>
  <si>
    <t>West TN Cust. Blend</t>
  </si>
  <si>
    <t>Days on feed</t>
  </si>
  <si>
    <t>Fall 2009</t>
  </si>
  <si>
    <t xml:space="preserve">1 Ton </t>
  </si>
  <si>
    <t>Feed Tag</t>
  </si>
  <si>
    <t>As-Fed Basis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</si>
</sst>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u val="single"/>
      <sz val="8"/>
      <name val="Arial"/>
      <family val="0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2" fillId="0" borderId="2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0" fillId="0" borderId="25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2" fontId="2" fillId="0" borderId="2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3" fillId="0" borderId="0" xfId="0" applyNumberFormat="1" applyFont="1" applyAlignment="1">
      <alignment/>
    </xf>
    <xf numFmtId="2" fontId="2" fillId="0" borderId="21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tabSelected="1" zoomScalePageLayoutView="0" workbookViewId="0" topLeftCell="A1">
      <selection activeCell="D40" sqref="D40"/>
    </sheetView>
  </sheetViews>
  <sheetFormatPr defaultColWidth="10.33203125" defaultRowHeight="11.25"/>
  <cols>
    <col min="1" max="1" width="3" style="0" customWidth="1"/>
    <col min="2" max="5" width="10.33203125" style="0" customWidth="1"/>
    <col min="6" max="6" width="12.83203125" style="1" customWidth="1"/>
    <col min="7" max="9" width="9.66015625" style="1" customWidth="1"/>
    <col min="10" max="10" width="12.16015625" style="1" customWidth="1"/>
    <col min="11" max="11" width="3.5" style="1" customWidth="1"/>
    <col min="12" max="12" width="9.66015625" style="1" customWidth="1"/>
    <col min="13" max="13" width="10.33203125" style="1" customWidth="1"/>
    <col min="14" max="14" width="9.83203125" style="1" customWidth="1"/>
    <col min="15" max="15" width="9.33203125" style="1" customWidth="1"/>
    <col min="16" max="16" width="9" style="1" customWidth="1"/>
    <col min="17" max="20" width="9.66015625" style="1" customWidth="1"/>
    <col min="21" max="21" width="7.5" style="1" customWidth="1"/>
    <col min="22" max="22" width="4" style="1" customWidth="1"/>
    <col min="23" max="23" width="9" style="0" customWidth="1"/>
    <col min="24" max="24" width="9.33203125" style="0" customWidth="1"/>
    <col min="25" max="25" width="8" style="0" customWidth="1"/>
    <col min="26" max="26" width="8.5" style="0" customWidth="1"/>
    <col min="27" max="27" width="8.16015625" style="0" customWidth="1"/>
    <col min="28" max="28" width="8.5" style="0" customWidth="1"/>
    <col min="29" max="29" width="9" style="0" customWidth="1"/>
    <col min="30" max="31" width="8.5" style="0" customWidth="1"/>
    <col min="32" max="32" width="7.5" style="0" customWidth="1"/>
  </cols>
  <sheetData>
    <row r="1" ht="11.25">
      <c r="B1" t="s">
        <v>150</v>
      </c>
    </row>
    <row r="2" spans="1:7" ht="11.25">
      <c r="B2" s="70" t="s">
        <v>103</v>
      </c>
      <c r="C2" s="71"/>
      <c r="D2" s="71"/>
      <c r="E2" s="71"/>
      <c r="F2" s="72"/>
      <c r="G2" s="73"/>
    </row>
    <row r="3" ht="11.25">
      <c r="B3" s="2" t="s">
        <v>90</v>
      </c>
    </row>
    <row r="4" spans="2:32" ht="11.25">
      <c r="B4" s="84" t="s">
        <v>127</v>
      </c>
      <c r="C4" s="84"/>
      <c r="D4" s="84"/>
      <c r="E4" s="84"/>
      <c r="L4" s="107" t="s">
        <v>118</v>
      </c>
      <c r="M4" s="108"/>
      <c r="N4" s="108"/>
      <c r="O4" s="108"/>
      <c r="P4" s="108"/>
      <c r="Q4" s="38"/>
      <c r="R4" s="38"/>
      <c r="S4" s="39"/>
      <c r="T4" s="39"/>
      <c r="U4" s="31"/>
      <c r="W4" s="40" t="s">
        <v>1</v>
      </c>
      <c r="X4" s="41"/>
      <c r="Y4" s="41"/>
      <c r="Z4" s="41"/>
      <c r="AA4" s="42"/>
      <c r="AB4" s="42"/>
      <c r="AC4" s="42"/>
      <c r="AD4" s="42"/>
      <c r="AE4" s="42"/>
      <c r="AF4" s="43"/>
    </row>
    <row r="5" spans="2:32" ht="11.25">
      <c r="B5" s="16" t="s">
        <v>131</v>
      </c>
      <c r="C5" s="16"/>
      <c r="D5" s="17"/>
      <c r="E5" s="17"/>
      <c r="F5" s="10"/>
      <c r="G5" s="6" t="s">
        <v>119</v>
      </c>
      <c r="I5" s="10"/>
      <c r="J5" s="10"/>
      <c r="K5" s="10"/>
      <c r="L5" s="12"/>
      <c r="M5" s="33" t="s">
        <v>117</v>
      </c>
      <c r="N5" s="13"/>
      <c r="O5" s="13"/>
      <c r="P5" s="13"/>
      <c r="Q5" s="13"/>
      <c r="R5" s="13"/>
      <c r="S5" s="13"/>
      <c r="T5" s="13"/>
      <c r="U5" s="14"/>
      <c r="W5" s="44"/>
      <c r="X5" s="18"/>
      <c r="Y5" s="18"/>
      <c r="Z5" s="18"/>
      <c r="AA5" s="18"/>
      <c r="AB5" s="18"/>
      <c r="AC5" s="18"/>
      <c r="AD5" s="18"/>
      <c r="AE5" s="18"/>
      <c r="AF5" s="45"/>
    </row>
    <row r="6" spans="2:32" ht="11.25">
      <c r="B6" s="40"/>
      <c r="C6" s="41"/>
      <c r="D6" s="65"/>
      <c r="E6" s="65" t="s">
        <v>151</v>
      </c>
      <c r="F6" s="66"/>
      <c r="G6" s="66"/>
      <c r="H6" s="87" t="s">
        <v>2</v>
      </c>
      <c r="I6" s="66" t="s">
        <v>2</v>
      </c>
      <c r="J6" s="67" t="s">
        <v>2</v>
      </c>
      <c r="K6" s="15"/>
      <c r="L6" s="46"/>
      <c r="M6" s="47" t="s">
        <v>3</v>
      </c>
      <c r="N6" s="47"/>
      <c r="O6" s="47"/>
      <c r="P6" s="47"/>
      <c r="Q6" s="47" t="s">
        <v>4</v>
      </c>
      <c r="R6" s="47"/>
      <c r="S6" s="47"/>
      <c r="T6" s="47"/>
      <c r="U6" s="48"/>
      <c r="V6" s="8"/>
      <c r="W6" s="53"/>
      <c r="X6" s="54" t="s">
        <v>3</v>
      </c>
      <c r="Y6" s="54"/>
      <c r="Z6" s="54"/>
      <c r="AA6" s="54"/>
      <c r="AB6" s="54" t="s">
        <v>4</v>
      </c>
      <c r="AC6" s="54"/>
      <c r="AD6" s="54"/>
      <c r="AE6" s="54"/>
      <c r="AF6" s="55"/>
    </row>
    <row r="7" spans="2:32" ht="11.25">
      <c r="B7" s="68" t="s">
        <v>5</v>
      </c>
      <c r="C7" s="16"/>
      <c r="D7" s="85" t="s">
        <v>6</v>
      </c>
      <c r="E7" s="93" t="s">
        <v>6</v>
      </c>
      <c r="F7" s="86" t="s">
        <v>7</v>
      </c>
      <c r="G7" s="47" t="s">
        <v>8</v>
      </c>
      <c r="H7" s="86" t="s">
        <v>9</v>
      </c>
      <c r="I7" s="47" t="s">
        <v>10</v>
      </c>
      <c r="J7" s="64" t="s">
        <v>11</v>
      </c>
      <c r="K7" s="15"/>
      <c r="L7" s="46" t="s">
        <v>12</v>
      </c>
      <c r="M7" s="47" t="s">
        <v>13</v>
      </c>
      <c r="N7" s="47" t="s">
        <v>104</v>
      </c>
      <c r="O7" s="47" t="s">
        <v>105</v>
      </c>
      <c r="P7" s="47" t="s">
        <v>106</v>
      </c>
      <c r="Q7" s="47" t="s">
        <v>14</v>
      </c>
      <c r="R7" s="47" t="s">
        <v>15</v>
      </c>
      <c r="S7" s="47" t="s">
        <v>16</v>
      </c>
      <c r="T7" s="47" t="s">
        <v>17</v>
      </c>
      <c r="U7" s="48" t="s">
        <v>18</v>
      </c>
      <c r="V7" s="8"/>
      <c r="W7" s="53" t="s">
        <v>12</v>
      </c>
      <c r="X7" s="54" t="s">
        <v>13</v>
      </c>
      <c r="Y7" s="54" t="s">
        <v>104</v>
      </c>
      <c r="Z7" s="54" t="s">
        <v>105</v>
      </c>
      <c r="AA7" s="54" t="s">
        <v>106</v>
      </c>
      <c r="AB7" s="54" t="s">
        <v>14</v>
      </c>
      <c r="AC7" s="54" t="s">
        <v>15</v>
      </c>
      <c r="AD7" s="54" t="s">
        <v>16</v>
      </c>
      <c r="AE7" s="54" t="s">
        <v>17</v>
      </c>
      <c r="AF7" s="55" t="s">
        <v>18</v>
      </c>
    </row>
    <row r="8" spans="2:32" ht="11.25">
      <c r="B8" s="68" t="s">
        <v>19</v>
      </c>
      <c r="C8" s="16"/>
      <c r="D8" s="85" t="s">
        <v>20</v>
      </c>
      <c r="E8" s="93" t="s">
        <v>144</v>
      </c>
      <c r="F8" s="86" t="s">
        <v>21</v>
      </c>
      <c r="G8" s="47" t="s">
        <v>20</v>
      </c>
      <c r="H8" s="86" t="s">
        <v>6</v>
      </c>
      <c r="I8" s="47" t="s">
        <v>22</v>
      </c>
      <c r="J8" s="64" t="s">
        <v>23</v>
      </c>
      <c r="K8" s="64"/>
      <c r="L8" s="33" t="s">
        <v>24</v>
      </c>
      <c r="M8" s="33" t="s">
        <v>24</v>
      </c>
      <c r="N8" s="33" t="s">
        <v>24</v>
      </c>
      <c r="O8" s="33" t="s">
        <v>24</v>
      </c>
      <c r="P8" s="33" t="s">
        <v>24</v>
      </c>
      <c r="Q8" s="33" t="s">
        <v>24</v>
      </c>
      <c r="R8" s="33" t="s">
        <v>25</v>
      </c>
      <c r="S8" s="33" t="s">
        <v>25</v>
      </c>
      <c r="T8" s="33" t="s">
        <v>24</v>
      </c>
      <c r="U8" s="34" t="s">
        <v>24</v>
      </c>
      <c r="V8" s="63"/>
      <c r="W8" s="32" t="s">
        <v>26</v>
      </c>
      <c r="X8" s="32" t="s">
        <v>26</v>
      </c>
      <c r="Y8" s="32" t="s">
        <v>26</v>
      </c>
      <c r="Z8" s="32" t="s">
        <v>26</v>
      </c>
      <c r="AA8" s="32" t="s">
        <v>26</v>
      </c>
      <c r="AB8" s="32" t="s">
        <v>26</v>
      </c>
      <c r="AC8" s="32" t="s">
        <v>27</v>
      </c>
      <c r="AD8" s="32" t="s">
        <v>27</v>
      </c>
      <c r="AE8" s="32" t="s">
        <v>26</v>
      </c>
      <c r="AF8" s="56" t="s">
        <v>26</v>
      </c>
    </row>
    <row r="9" spans="2:32" ht="11.25">
      <c r="B9" s="69" t="s">
        <v>28</v>
      </c>
      <c r="C9" s="17"/>
      <c r="D9" s="109">
        <v>0</v>
      </c>
      <c r="E9" s="62">
        <f>D9*20</f>
        <v>0</v>
      </c>
      <c r="F9" s="22">
        <v>86</v>
      </c>
      <c r="G9" s="22">
        <f aca="true" t="shared" si="0" ref="G9:G39">D9*(F9/100)</f>
        <v>0</v>
      </c>
      <c r="H9" s="22">
        <v>124.95</v>
      </c>
      <c r="I9" s="22">
        <f aca="true" t="shared" si="1" ref="I9:I39">H9/((2000)*(F9/100))*100</f>
        <v>7.2645348837209305</v>
      </c>
      <c r="J9" s="50">
        <f aca="true" t="shared" si="2" ref="J9:J17">D9*(H9/2000)</f>
        <v>0</v>
      </c>
      <c r="K9" s="20"/>
      <c r="L9" s="49">
        <v>93</v>
      </c>
      <c r="M9" s="22">
        <v>9.1</v>
      </c>
      <c r="N9" s="22">
        <v>0.12</v>
      </c>
      <c r="O9" s="22">
        <v>0.29</v>
      </c>
      <c r="P9" s="22">
        <v>0.38</v>
      </c>
      <c r="Q9" s="22">
        <v>3.4</v>
      </c>
      <c r="R9" s="22">
        <v>1</v>
      </c>
      <c r="S9" s="22">
        <v>0.67</v>
      </c>
      <c r="T9" s="22">
        <v>4.06</v>
      </c>
      <c r="U9" s="50">
        <v>0</v>
      </c>
      <c r="V9" s="20"/>
      <c r="W9" s="57">
        <f aca="true" t="shared" si="3" ref="W9:W39">G9*(L9/100)</f>
        <v>0</v>
      </c>
      <c r="X9" s="58">
        <f aca="true" t="shared" si="4" ref="X9:X39">G9*(M9/100)</f>
        <v>0</v>
      </c>
      <c r="Y9" s="58">
        <f aca="true" t="shared" si="5" ref="Y9:Y39">G9*(N9/100)</f>
        <v>0</v>
      </c>
      <c r="Z9" s="58">
        <f aca="true" t="shared" si="6" ref="Z9:Z39">G9*(O9/100)</f>
        <v>0</v>
      </c>
      <c r="AA9" s="58">
        <f aca="true" t="shared" si="7" ref="AA9:AA39">G9*(P9/100)</f>
        <v>0</v>
      </c>
      <c r="AB9" s="58">
        <f aca="true" t="shared" si="8" ref="AB9:AB39">G9*(Q9/100)</f>
        <v>0</v>
      </c>
      <c r="AC9" s="58">
        <f aca="true" t="shared" si="9" ref="AC9:AC14">G9*R9</f>
        <v>0</v>
      </c>
      <c r="AD9" s="58">
        <f aca="true" t="shared" si="10" ref="AD9:AD39">G9*S9</f>
        <v>0</v>
      </c>
      <c r="AE9" s="58">
        <f aca="true" t="shared" si="11" ref="AE9:AE39">G9*(T9/100)</f>
        <v>0</v>
      </c>
      <c r="AF9" s="59">
        <f aca="true" t="shared" si="12" ref="AF9:AF39">G9*(U9/100)</f>
        <v>0</v>
      </c>
    </row>
    <row r="10" spans="2:32" ht="11.25">
      <c r="B10" s="69" t="s">
        <v>29</v>
      </c>
      <c r="C10" s="17"/>
      <c r="D10" s="109">
        <v>0</v>
      </c>
      <c r="E10" s="62">
        <f>D10*20</f>
        <v>0</v>
      </c>
      <c r="F10" s="22">
        <v>90</v>
      </c>
      <c r="G10" s="22">
        <f t="shared" si="0"/>
        <v>0</v>
      </c>
      <c r="H10" s="22">
        <v>220</v>
      </c>
      <c r="I10" s="22">
        <f t="shared" si="1"/>
        <v>12.222222222222221</v>
      </c>
      <c r="J10" s="50">
        <f t="shared" si="2"/>
        <v>0</v>
      </c>
      <c r="K10" s="20"/>
      <c r="L10" s="49">
        <v>76</v>
      </c>
      <c r="M10" s="22">
        <v>13.1</v>
      </c>
      <c r="N10" s="22">
        <v>0.09</v>
      </c>
      <c r="O10" s="22">
        <v>0.38</v>
      </c>
      <c r="P10" s="22">
        <v>0.41</v>
      </c>
      <c r="Q10" s="22">
        <v>11.8</v>
      </c>
      <c r="R10" s="22">
        <v>0.89</v>
      </c>
      <c r="S10" s="22">
        <v>0.6</v>
      </c>
      <c r="T10" s="22">
        <v>4.44</v>
      </c>
      <c r="U10" s="50">
        <v>0</v>
      </c>
      <c r="V10" s="20"/>
      <c r="W10" s="57">
        <f t="shared" si="3"/>
        <v>0</v>
      </c>
      <c r="X10" s="58">
        <f t="shared" si="4"/>
        <v>0</v>
      </c>
      <c r="Y10" s="58">
        <f t="shared" si="5"/>
        <v>0</v>
      </c>
      <c r="Z10" s="58">
        <f t="shared" si="6"/>
        <v>0</v>
      </c>
      <c r="AA10" s="58">
        <f t="shared" si="7"/>
        <v>0</v>
      </c>
      <c r="AB10" s="58">
        <f t="shared" si="8"/>
        <v>0</v>
      </c>
      <c r="AC10" s="58">
        <f t="shared" si="9"/>
        <v>0</v>
      </c>
      <c r="AD10" s="58">
        <f t="shared" si="10"/>
        <v>0</v>
      </c>
      <c r="AE10" s="58">
        <f t="shared" si="11"/>
        <v>0</v>
      </c>
      <c r="AF10" s="59">
        <f t="shared" si="12"/>
        <v>0</v>
      </c>
    </row>
    <row r="11" spans="2:32" ht="11.25">
      <c r="B11" s="69" t="s">
        <v>30</v>
      </c>
      <c r="C11" s="17"/>
      <c r="D11" s="109">
        <v>0</v>
      </c>
      <c r="E11" s="62">
        <f>D11*20</f>
        <v>0</v>
      </c>
      <c r="F11" s="22">
        <v>35</v>
      </c>
      <c r="G11" s="22">
        <f t="shared" si="0"/>
        <v>0</v>
      </c>
      <c r="H11" s="22">
        <v>25</v>
      </c>
      <c r="I11" s="22">
        <f t="shared" si="1"/>
        <v>3.571428571428571</v>
      </c>
      <c r="J11" s="50">
        <f t="shared" si="2"/>
        <v>0</v>
      </c>
      <c r="K11" s="20"/>
      <c r="L11" s="49">
        <v>69</v>
      </c>
      <c r="M11" s="22">
        <v>8.4</v>
      </c>
      <c r="N11" s="22">
        <v>0.31</v>
      </c>
      <c r="O11" s="22">
        <v>0.27</v>
      </c>
      <c r="P11" s="22">
        <v>1</v>
      </c>
      <c r="Q11" s="22">
        <v>25.3</v>
      </c>
      <c r="R11" s="22">
        <v>0.53</v>
      </c>
      <c r="S11" s="22">
        <v>0.405</v>
      </c>
      <c r="T11" s="22">
        <v>2.5</v>
      </c>
      <c r="U11" s="50">
        <v>0</v>
      </c>
      <c r="V11" s="20"/>
      <c r="W11" s="57">
        <f t="shared" si="3"/>
        <v>0</v>
      </c>
      <c r="X11" s="58">
        <f t="shared" si="4"/>
        <v>0</v>
      </c>
      <c r="Y11" s="58">
        <f t="shared" si="5"/>
        <v>0</v>
      </c>
      <c r="Z11" s="58">
        <f t="shared" si="6"/>
        <v>0</v>
      </c>
      <c r="AA11" s="58">
        <f t="shared" si="7"/>
        <v>0</v>
      </c>
      <c r="AB11" s="58">
        <f t="shared" si="8"/>
        <v>0</v>
      </c>
      <c r="AC11" s="58">
        <f t="shared" si="9"/>
        <v>0</v>
      </c>
      <c r="AD11" s="58">
        <f t="shared" si="10"/>
        <v>0</v>
      </c>
      <c r="AE11" s="58">
        <f t="shared" si="11"/>
        <v>0</v>
      </c>
      <c r="AF11" s="59">
        <f t="shared" si="12"/>
        <v>0</v>
      </c>
    </row>
    <row r="12" spans="2:32" ht="11.25">
      <c r="B12" s="69" t="s">
        <v>110</v>
      </c>
      <c r="C12" s="17"/>
      <c r="D12" s="109">
        <v>0</v>
      </c>
      <c r="E12" s="62">
        <f aca="true" t="shared" si="13" ref="E12:E39">D12*20</f>
        <v>0</v>
      </c>
      <c r="F12" s="22">
        <v>87.3</v>
      </c>
      <c r="G12" s="22">
        <f t="shared" si="0"/>
        <v>0</v>
      </c>
      <c r="H12" s="22">
        <v>55</v>
      </c>
      <c r="I12" s="22">
        <f t="shared" si="1"/>
        <v>3.150057273768614</v>
      </c>
      <c r="J12" s="50">
        <f t="shared" si="2"/>
        <v>0</v>
      </c>
      <c r="K12" s="20"/>
      <c r="L12" s="49">
        <v>49</v>
      </c>
      <c r="M12" s="22">
        <v>9.1</v>
      </c>
      <c r="N12" s="22">
        <v>0.39</v>
      </c>
      <c r="O12" s="22">
        <v>0.24</v>
      </c>
      <c r="P12" s="22">
        <v>1.87</v>
      </c>
      <c r="Q12" s="22">
        <v>36.7</v>
      </c>
      <c r="R12" s="22">
        <v>0.49</v>
      </c>
      <c r="S12" s="22">
        <v>0.3</v>
      </c>
      <c r="T12" s="22">
        <v>2.24</v>
      </c>
      <c r="U12" s="50">
        <v>0</v>
      </c>
      <c r="V12" s="20"/>
      <c r="W12" s="57">
        <f t="shared" si="3"/>
        <v>0</v>
      </c>
      <c r="X12" s="58">
        <f t="shared" si="4"/>
        <v>0</v>
      </c>
      <c r="Y12" s="58">
        <f t="shared" si="5"/>
        <v>0</v>
      </c>
      <c r="Z12" s="58">
        <f t="shared" si="6"/>
        <v>0</v>
      </c>
      <c r="AA12" s="58">
        <f t="shared" si="7"/>
        <v>0</v>
      </c>
      <c r="AB12" s="58">
        <f t="shared" si="8"/>
        <v>0</v>
      </c>
      <c r="AC12" s="58">
        <f t="shared" si="9"/>
        <v>0</v>
      </c>
      <c r="AD12" s="58">
        <f t="shared" si="10"/>
        <v>0</v>
      </c>
      <c r="AE12" s="58">
        <f t="shared" si="11"/>
        <v>0</v>
      </c>
      <c r="AF12" s="59">
        <f t="shared" si="12"/>
        <v>0</v>
      </c>
    </row>
    <row r="13" spans="2:32" ht="11.25">
      <c r="B13" s="69" t="s">
        <v>31</v>
      </c>
      <c r="C13" s="17"/>
      <c r="D13" s="109">
        <v>0</v>
      </c>
      <c r="E13" s="62">
        <f t="shared" si="13"/>
        <v>0</v>
      </c>
      <c r="F13" s="22">
        <v>91</v>
      </c>
      <c r="G13" s="22">
        <f t="shared" si="0"/>
        <v>0</v>
      </c>
      <c r="H13" s="22">
        <v>80</v>
      </c>
      <c r="I13" s="22">
        <f t="shared" si="1"/>
        <v>4.395604395604396</v>
      </c>
      <c r="J13" s="50">
        <f t="shared" si="2"/>
        <v>0</v>
      </c>
      <c r="K13" s="20"/>
      <c r="L13" s="49">
        <v>77</v>
      </c>
      <c r="M13" s="22">
        <v>12.1</v>
      </c>
      <c r="N13" s="22">
        <v>0.69</v>
      </c>
      <c r="O13" s="22">
        <v>0.21</v>
      </c>
      <c r="P13" s="22">
        <v>3</v>
      </c>
      <c r="Q13" s="22">
        <v>40.1</v>
      </c>
      <c r="R13" s="22">
        <v>0.85</v>
      </c>
      <c r="S13" s="22">
        <v>0.55</v>
      </c>
      <c r="T13" s="22">
        <v>2.1</v>
      </c>
      <c r="U13" s="50">
        <v>0</v>
      </c>
      <c r="V13" s="20"/>
      <c r="W13" s="57">
        <f t="shared" si="3"/>
        <v>0</v>
      </c>
      <c r="X13" s="58">
        <f t="shared" si="4"/>
        <v>0</v>
      </c>
      <c r="Y13" s="58">
        <f t="shared" si="5"/>
        <v>0</v>
      </c>
      <c r="Z13" s="58">
        <f t="shared" si="6"/>
        <v>0</v>
      </c>
      <c r="AA13" s="58">
        <f t="shared" si="7"/>
        <v>0</v>
      </c>
      <c r="AB13" s="58">
        <f t="shared" si="8"/>
        <v>0</v>
      </c>
      <c r="AC13" s="58">
        <f t="shared" si="9"/>
        <v>0</v>
      </c>
      <c r="AD13" s="58">
        <f t="shared" si="10"/>
        <v>0</v>
      </c>
      <c r="AE13" s="58">
        <f t="shared" si="11"/>
        <v>0</v>
      </c>
      <c r="AF13" s="59">
        <f t="shared" si="12"/>
        <v>0</v>
      </c>
    </row>
    <row r="14" spans="2:32" ht="11.25">
      <c r="B14" s="69" t="s">
        <v>147</v>
      </c>
      <c r="C14" s="17"/>
      <c r="D14" s="109">
        <v>0</v>
      </c>
      <c r="E14" s="62">
        <f t="shared" si="13"/>
        <v>0</v>
      </c>
      <c r="F14" s="22">
        <v>90</v>
      </c>
      <c r="G14" s="22">
        <f t="shared" si="0"/>
        <v>0</v>
      </c>
      <c r="H14" s="22">
        <v>160</v>
      </c>
      <c r="I14" s="22">
        <f t="shared" si="1"/>
        <v>8.88888888888889</v>
      </c>
      <c r="J14" s="50">
        <f t="shared" si="2"/>
        <v>0</v>
      </c>
      <c r="K14" s="20"/>
      <c r="L14" s="49">
        <v>56</v>
      </c>
      <c r="M14" s="22">
        <v>19</v>
      </c>
      <c r="N14" s="22">
        <v>1.42</v>
      </c>
      <c r="O14" s="22">
        <v>0.25</v>
      </c>
      <c r="P14" s="22">
        <v>2.5</v>
      </c>
      <c r="Q14" s="22">
        <v>26</v>
      </c>
      <c r="R14" s="22">
        <v>0.62</v>
      </c>
      <c r="S14" s="22">
        <v>0.31</v>
      </c>
      <c r="T14" s="22">
        <v>3</v>
      </c>
      <c r="U14" s="50">
        <v>0</v>
      </c>
      <c r="V14" s="20"/>
      <c r="W14" s="57">
        <f t="shared" si="3"/>
        <v>0</v>
      </c>
      <c r="X14" s="58">
        <f t="shared" si="4"/>
        <v>0</v>
      </c>
      <c r="Y14" s="58">
        <f t="shared" si="5"/>
        <v>0</v>
      </c>
      <c r="Z14" s="58">
        <f t="shared" si="6"/>
        <v>0</v>
      </c>
      <c r="AA14" s="58">
        <f t="shared" si="7"/>
        <v>0</v>
      </c>
      <c r="AB14" s="58">
        <f t="shared" si="8"/>
        <v>0</v>
      </c>
      <c r="AC14" s="58">
        <f t="shared" si="9"/>
        <v>0</v>
      </c>
      <c r="AD14" s="58">
        <f t="shared" si="10"/>
        <v>0</v>
      </c>
      <c r="AE14" s="58">
        <f t="shared" si="11"/>
        <v>0</v>
      </c>
      <c r="AF14" s="59">
        <f t="shared" si="12"/>
        <v>0</v>
      </c>
    </row>
    <row r="15" spans="2:32" ht="11.25">
      <c r="B15" s="69" t="s">
        <v>32</v>
      </c>
      <c r="C15" s="17"/>
      <c r="D15" s="109">
        <v>0</v>
      </c>
      <c r="E15" s="62">
        <f t="shared" si="13"/>
        <v>0</v>
      </c>
      <c r="F15" s="22">
        <v>90</v>
      </c>
      <c r="G15" s="22">
        <f t="shared" si="0"/>
        <v>0</v>
      </c>
      <c r="H15" s="22">
        <v>360</v>
      </c>
      <c r="I15" s="22">
        <f t="shared" si="1"/>
        <v>20</v>
      </c>
      <c r="J15" s="50">
        <f t="shared" si="2"/>
        <v>0</v>
      </c>
      <c r="K15" s="20"/>
      <c r="L15" s="49">
        <v>90</v>
      </c>
      <c r="M15" s="22">
        <v>48.9</v>
      </c>
      <c r="N15" s="22">
        <v>0.28</v>
      </c>
      <c r="O15" s="22">
        <v>0.67</v>
      </c>
      <c r="P15" s="22">
        <v>2.18</v>
      </c>
      <c r="Q15" s="22">
        <v>7.8</v>
      </c>
      <c r="R15" s="22">
        <v>0.88</v>
      </c>
      <c r="S15" s="22">
        <v>0.59</v>
      </c>
      <c r="T15" s="22">
        <v>0.56</v>
      </c>
      <c r="U15" s="50">
        <v>0</v>
      </c>
      <c r="V15" s="20"/>
      <c r="W15" s="57">
        <f t="shared" si="3"/>
        <v>0</v>
      </c>
      <c r="X15" s="58">
        <f t="shared" si="4"/>
        <v>0</v>
      </c>
      <c r="Y15" s="58">
        <f t="shared" si="5"/>
        <v>0</v>
      </c>
      <c r="Z15" s="58">
        <f t="shared" si="6"/>
        <v>0</v>
      </c>
      <c r="AA15" s="58">
        <f t="shared" si="7"/>
        <v>0</v>
      </c>
      <c r="AB15" s="58">
        <f t="shared" si="8"/>
        <v>0</v>
      </c>
      <c r="AC15" s="58">
        <f aca="true" t="shared" si="14" ref="AC15:AC39">G15*R15</f>
        <v>0</v>
      </c>
      <c r="AD15" s="58">
        <f t="shared" si="10"/>
        <v>0</v>
      </c>
      <c r="AE15" s="58">
        <f t="shared" si="11"/>
        <v>0</v>
      </c>
      <c r="AF15" s="59">
        <f t="shared" si="12"/>
        <v>0</v>
      </c>
    </row>
    <row r="16" spans="2:32" ht="11.25">
      <c r="B16" s="69" t="s">
        <v>146</v>
      </c>
      <c r="C16" s="17"/>
      <c r="D16" s="109">
        <v>0</v>
      </c>
      <c r="E16" s="62">
        <f t="shared" si="13"/>
        <v>0</v>
      </c>
      <c r="F16" s="22">
        <v>90</v>
      </c>
      <c r="G16" s="22">
        <f t="shared" si="0"/>
        <v>0</v>
      </c>
      <c r="H16" s="22">
        <v>375</v>
      </c>
      <c r="I16" s="22">
        <f t="shared" si="1"/>
        <v>20.833333333333336</v>
      </c>
      <c r="J16" s="50">
        <f t="shared" si="2"/>
        <v>0</v>
      </c>
      <c r="K16" s="20"/>
      <c r="L16" s="49">
        <v>97</v>
      </c>
      <c r="M16" s="22">
        <v>46.6</v>
      </c>
      <c r="N16" s="22">
        <v>0.29</v>
      </c>
      <c r="O16" s="22">
        <v>0.7</v>
      </c>
      <c r="P16" s="22">
        <v>2.44</v>
      </c>
      <c r="Q16" s="22">
        <v>6.1</v>
      </c>
      <c r="R16" s="22">
        <v>1.44</v>
      </c>
      <c r="S16" s="22">
        <v>0.78</v>
      </c>
      <c r="T16" s="22">
        <v>6.6</v>
      </c>
      <c r="U16" s="50">
        <v>0</v>
      </c>
      <c r="V16" s="20"/>
      <c r="W16" s="57">
        <f>G16*(L16/100)</f>
        <v>0</v>
      </c>
      <c r="X16" s="58">
        <f>G16*(M16/100)</f>
        <v>0</v>
      </c>
      <c r="Y16" s="58">
        <f>G16*(N16/100)</f>
        <v>0</v>
      </c>
      <c r="Z16" s="58">
        <f>G16*(O16/100)</f>
        <v>0</v>
      </c>
      <c r="AA16" s="58">
        <f>G16*(P16/100)</f>
        <v>0</v>
      </c>
      <c r="AB16" s="58">
        <f>G16*(Q16/100)</f>
        <v>0</v>
      </c>
      <c r="AC16" s="58">
        <f>G16*R16</f>
        <v>0</v>
      </c>
      <c r="AD16" s="58">
        <f>G16*S16</f>
        <v>0</v>
      </c>
      <c r="AE16" s="58">
        <f>G16*(T16/100)</f>
        <v>0</v>
      </c>
      <c r="AF16" s="59">
        <f>G16*(U16/100)</f>
        <v>0</v>
      </c>
    </row>
    <row r="17" spans="2:32" ht="11.25">
      <c r="B17" s="105" t="s">
        <v>33</v>
      </c>
      <c r="C17" s="106"/>
      <c r="D17" s="109">
        <v>0</v>
      </c>
      <c r="E17" s="62">
        <f t="shared" si="13"/>
        <v>0</v>
      </c>
      <c r="F17" s="22">
        <v>90</v>
      </c>
      <c r="G17" s="22">
        <f>D17*(F17/100)</f>
        <v>0</v>
      </c>
      <c r="H17" s="22">
        <v>230</v>
      </c>
      <c r="I17" s="22">
        <f t="shared" si="1"/>
        <v>12.777777777777777</v>
      </c>
      <c r="J17" s="50">
        <f t="shared" si="2"/>
        <v>0</v>
      </c>
      <c r="K17" s="20"/>
      <c r="L17" s="49">
        <v>78</v>
      </c>
      <c r="M17" s="22">
        <v>45.6</v>
      </c>
      <c r="N17" s="22">
        <v>0.18</v>
      </c>
      <c r="O17" s="22">
        <v>1.1</v>
      </c>
      <c r="P17" s="22">
        <v>1.29</v>
      </c>
      <c r="Q17" s="22">
        <v>12.6</v>
      </c>
      <c r="R17" s="22">
        <v>0.88</v>
      </c>
      <c r="S17" s="22">
        <v>0.6</v>
      </c>
      <c r="T17" s="22">
        <v>2.33</v>
      </c>
      <c r="U17" s="50">
        <v>0</v>
      </c>
      <c r="V17" s="20"/>
      <c r="W17" s="57">
        <f t="shared" si="3"/>
        <v>0</v>
      </c>
      <c r="X17" s="58">
        <f t="shared" si="4"/>
        <v>0</v>
      </c>
      <c r="Y17" s="58">
        <f t="shared" si="5"/>
        <v>0</v>
      </c>
      <c r="Z17" s="58">
        <f t="shared" si="6"/>
        <v>0</v>
      </c>
      <c r="AA17" s="58">
        <f t="shared" si="7"/>
        <v>0</v>
      </c>
      <c r="AB17" s="58">
        <f t="shared" si="8"/>
        <v>0</v>
      </c>
      <c r="AC17" s="58">
        <f t="shared" si="14"/>
        <v>0</v>
      </c>
      <c r="AD17" s="58">
        <f t="shared" si="10"/>
        <v>0</v>
      </c>
      <c r="AE17" s="58">
        <f t="shared" si="11"/>
        <v>0</v>
      </c>
      <c r="AF17" s="59">
        <f t="shared" si="12"/>
        <v>0</v>
      </c>
    </row>
    <row r="18" spans="2:32" ht="11.25">
      <c r="B18" s="105" t="s">
        <v>111</v>
      </c>
      <c r="C18" s="106"/>
      <c r="D18" s="109">
        <v>0</v>
      </c>
      <c r="E18" s="62">
        <f t="shared" si="13"/>
        <v>0</v>
      </c>
      <c r="F18" s="22">
        <v>18</v>
      </c>
      <c r="G18" s="22">
        <f t="shared" si="0"/>
        <v>0</v>
      </c>
      <c r="H18" s="22">
        <v>25</v>
      </c>
      <c r="I18" s="22">
        <f t="shared" si="1"/>
        <v>6.944444444444445</v>
      </c>
      <c r="J18" s="50">
        <f>D17*(H17/2000)</f>
        <v>0</v>
      </c>
      <c r="K18" s="20"/>
      <c r="L18" s="49">
        <v>85</v>
      </c>
      <c r="M18" s="22">
        <v>29</v>
      </c>
      <c r="N18" s="22">
        <v>0.3</v>
      </c>
      <c r="O18" s="22">
        <v>0.62</v>
      </c>
      <c r="P18" s="22">
        <v>0.1</v>
      </c>
      <c r="Q18" s="22">
        <v>13</v>
      </c>
      <c r="R18" s="22">
        <v>0.93</v>
      </c>
      <c r="S18" s="22">
        <v>0.62</v>
      </c>
      <c r="T18" s="22">
        <v>8.2</v>
      </c>
      <c r="U18" s="50">
        <v>0</v>
      </c>
      <c r="V18" s="20"/>
      <c r="W18" s="57">
        <f t="shared" si="3"/>
        <v>0</v>
      </c>
      <c r="X18" s="58">
        <f t="shared" si="4"/>
        <v>0</v>
      </c>
      <c r="Y18" s="58">
        <f t="shared" si="5"/>
        <v>0</v>
      </c>
      <c r="Z18" s="58">
        <f t="shared" si="6"/>
        <v>0</v>
      </c>
      <c r="AA18" s="58">
        <f t="shared" si="7"/>
        <v>0</v>
      </c>
      <c r="AB18" s="58">
        <f t="shared" si="8"/>
        <v>0</v>
      </c>
      <c r="AC18" s="58">
        <f t="shared" si="14"/>
        <v>0</v>
      </c>
      <c r="AD18" s="58">
        <f t="shared" si="10"/>
        <v>0</v>
      </c>
      <c r="AE18" s="58">
        <f t="shared" si="11"/>
        <v>0</v>
      </c>
      <c r="AF18" s="59">
        <f t="shared" si="12"/>
        <v>0</v>
      </c>
    </row>
    <row r="19" spans="2:32" ht="11.25">
      <c r="B19" s="69" t="s">
        <v>142</v>
      </c>
      <c r="C19" s="17"/>
      <c r="D19" s="109">
        <v>0</v>
      </c>
      <c r="E19" s="62">
        <f t="shared" si="13"/>
        <v>0</v>
      </c>
      <c r="F19" s="22">
        <v>90</v>
      </c>
      <c r="G19" s="22">
        <f>D19*(F19/100)</f>
        <v>0</v>
      </c>
      <c r="H19" s="22">
        <v>25</v>
      </c>
      <c r="I19" s="22">
        <f>H19/((2000)*(F19/100))*100</f>
        <v>1.3888888888888888</v>
      </c>
      <c r="J19" s="50">
        <f>D18*(H18/2000)</f>
        <v>0</v>
      </c>
      <c r="K19" s="20"/>
      <c r="L19" s="49">
        <v>74</v>
      </c>
      <c r="M19" s="22">
        <v>36.6</v>
      </c>
      <c r="N19" s="22">
        <v>0.42</v>
      </c>
      <c r="O19" s="22">
        <v>1.14</v>
      </c>
      <c r="P19" s="22">
        <v>1.14</v>
      </c>
      <c r="Q19" s="22">
        <v>13.1</v>
      </c>
      <c r="R19" s="22">
        <v>0.8</v>
      </c>
      <c r="S19" s="22">
        <v>0.51</v>
      </c>
      <c r="T19" s="22">
        <v>9</v>
      </c>
      <c r="U19" s="50"/>
      <c r="V19" s="20"/>
      <c r="W19" s="57">
        <f>G19*(L19/100)</f>
        <v>0</v>
      </c>
      <c r="X19" s="58">
        <f>G19*(M19/100)</f>
        <v>0</v>
      </c>
      <c r="Y19" s="58">
        <f>G19*(N19/100)</f>
        <v>0</v>
      </c>
      <c r="Z19" s="58">
        <f>G19*(O19/100)</f>
        <v>0</v>
      </c>
      <c r="AA19" s="58">
        <f>G19*(P19/100)</f>
        <v>0</v>
      </c>
      <c r="AB19" s="58">
        <f>G19*(Q19/100)</f>
        <v>0</v>
      </c>
      <c r="AC19" s="58">
        <f>G19*R19</f>
        <v>0</v>
      </c>
      <c r="AD19" s="58">
        <f>G19*S19</f>
        <v>0</v>
      </c>
      <c r="AE19" s="58">
        <f>G19*(T19/100)</f>
        <v>0</v>
      </c>
      <c r="AF19" s="59">
        <f>G19*(U19/100)</f>
        <v>0</v>
      </c>
    </row>
    <row r="20" spans="2:32" ht="11.25">
      <c r="B20" s="69" t="s">
        <v>34</v>
      </c>
      <c r="C20" s="17"/>
      <c r="D20" s="109">
        <v>0</v>
      </c>
      <c r="E20" s="62">
        <f t="shared" si="13"/>
        <v>0</v>
      </c>
      <c r="F20" s="22">
        <v>100</v>
      </c>
      <c r="G20" s="22">
        <f t="shared" si="0"/>
        <v>0</v>
      </c>
      <c r="H20" s="22">
        <v>60</v>
      </c>
      <c r="I20" s="22">
        <f t="shared" si="1"/>
        <v>3</v>
      </c>
      <c r="J20" s="50">
        <f aca="true" t="shared" si="15" ref="J20:J39">D20*(H20/2000)</f>
        <v>0</v>
      </c>
      <c r="K20" s="20"/>
      <c r="L20" s="49">
        <v>0</v>
      </c>
      <c r="M20" s="22">
        <v>0</v>
      </c>
      <c r="N20" s="22">
        <v>38</v>
      </c>
      <c r="O20" s="22">
        <v>0</v>
      </c>
      <c r="P20" s="22">
        <v>0.06</v>
      </c>
      <c r="Q20" s="22">
        <v>0</v>
      </c>
      <c r="R20" s="22">
        <v>0</v>
      </c>
      <c r="S20" s="22">
        <v>0</v>
      </c>
      <c r="T20" s="22">
        <v>0</v>
      </c>
      <c r="U20" s="50">
        <v>0</v>
      </c>
      <c r="V20" s="20"/>
      <c r="W20" s="57">
        <f t="shared" si="3"/>
        <v>0</v>
      </c>
      <c r="X20" s="58">
        <f t="shared" si="4"/>
        <v>0</v>
      </c>
      <c r="Y20" s="58">
        <f t="shared" si="5"/>
        <v>0</v>
      </c>
      <c r="Z20" s="58">
        <f t="shared" si="6"/>
        <v>0</v>
      </c>
      <c r="AA20" s="58">
        <f t="shared" si="7"/>
        <v>0</v>
      </c>
      <c r="AB20" s="58">
        <f t="shared" si="8"/>
        <v>0</v>
      </c>
      <c r="AC20" s="58">
        <f t="shared" si="14"/>
        <v>0</v>
      </c>
      <c r="AD20" s="58">
        <f t="shared" si="10"/>
        <v>0</v>
      </c>
      <c r="AE20" s="58">
        <f t="shared" si="11"/>
        <v>0</v>
      </c>
      <c r="AF20" s="59">
        <f t="shared" si="12"/>
        <v>0</v>
      </c>
    </row>
    <row r="21" spans="2:32" ht="11.25">
      <c r="B21" s="105" t="s">
        <v>35</v>
      </c>
      <c r="C21" s="106"/>
      <c r="D21" s="109">
        <v>0</v>
      </c>
      <c r="E21" s="62">
        <f t="shared" si="13"/>
        <v>0</v>
      </c>
      <c r="F21" s="22">
        <v>100</v>
      </c>
      <c r="G21" s="22">
        <f t="shared" si="0"/>
        <v>0</v>
      </c>
      <c r="H21" s="22">
        <v>420</v>
      </c>
      <c r="I21" s="22">
        <f t="shared" si="1"/>
        <v>21</v>
      </c>
      <c r="J21" s="50">
        <f t="shared" si="15"/>
        <v>0</v>
      </c>
      <c r="K21" s="20"/>
      <c r="L21" s="49">
        <v>0</v>
      </c>
      <c r="M21" s="22">
        <v>0</v>
      </c>
      <c r="N21" s="22">
        <v>20</v>
      </c>
      <c r="O21" s="22">
        <v>18.5</v>
      </c>
      <c r="P21" s="22">
        <v>0.09</v>
      </c>
      <c r="Q21" s="22">
        <v>0</v>
      </c>
      <c r="R21" s="22">
        <v>0</v>
      </c>
      <c r="S21" s="22">
        <v>0</v>
      </c>
      <c r="T21" s="22">
        <v>0</v>
      </c>
      <c r="U21" s="50">
        <v>0</v>
      </c>
      <c r="V21" s="20"/>
      <c r="W21" s="57">
        <f t="shared" si="3"/>
        <v>0</v>
      </c>
      <c r="X21" s="58">
        <f t="shared" si="4"/>
        <v>0</v>
      </c>
      <c r="Y21" s="58">
        <f t="shared" si="5"/>
        <v>0</v>
      </c>
      <c r="Z21" s="58">
        <f t="shared" si="6"/>
        <v>0</v>
      </c>
      <c r="AA21" s="58">
        <f t="shared" si="7"/>
        <v>0</v>
      </c>
      <c r="AB21" s="58">
        <f t="shared" si="8"/>
        <v>0</v>
      </c>
      <c r="AC21" s="58">
        <f t="shared" si="14"/>
        <v>0</v>
      </c>
      <c r="AD21" s="58">
        <f t="shared" si="10"/>
        <v>0</v>
      </c>
      <c r="AE21" s="58">
        <f t="shared" si="11"/>
        <v>0</v>
      </c>
      <c r="AF21" s="59">
        <f t="shared" si="12"/>
        <v>0</v>
      </c>
    </row>
    <row r="22" spans="2:32" ht="11.25">
      <c r="B22" s="105" t="s">
        <v>109</v>
      </c>
      <c r="C22" s="106"/>
      <c r="D22" s="109">
        <v>0</v>
      </c>
      <c r="E22" s="62">
        <f t="shared" si="13"/>
        <v>0</v>
      </c>
      <c r="F22" s="22">
        <v>100</v>
      </c>
      <c r="G22" s="22">
        <f t="shared" si="0"/>
        <v>0</v>
      </c>
      <c r="H22" s="22">
        <v>380</v>
      </c>
      <c r="I22" s="22">
        <f t="shared" si="1"/>
        <v>19</v>
      </c>
      <c r="J22" s="50">
        <f t="shared" si="15"/>
        <v>0</v>
      </c>
      <c r="K22" s="20"/>
      <c r="L22" s="49">
        <v>0</v>
      </c>
      <c r="M22" s="22">
        <v>0</v>
      </c>
      <c r="N22" s="22">
        <v>16.5</v>
      </c>
      <c r="O22" s="22">
        <v>6.5</v>
      </c>
      <c r="P22" s="22">
        <v>2</v>
      </c>
      <c r="Q22" s="22">
        <v>0</v>
      </c>
      <c r="R22" s="22">
        <v>0</v>
      </c>
      <c r="S22" s="22">
        <v>0</v>
      </c>
      <c r="T22" s="22">
        <v>0</v>
      </c>
      <c r="U22" s="50">
        <v>21.8</v>
      </c>
      <c r="V22" s="20"/>
      <c r="W22" s="57">
        <f t="shared" si="3"/>
        <v>0</v>
      </c>
      <c r="X22" s="58">
        <f t="shared" si="4"/>
        <v>0</v>
      </c>
      <c r="Y22" s="58">
        <f t="shared" si="5"/>
        <v>0</v>
      </c>
      <c r="Z22" s="58">
        <f t="shared" si="6"/>
        <v>0</v>
      </c>
      <c r="AA22" s="58">
        <f t="shared" si="7"/>
        <v>0</v>
      </c>
      <c r="AB22" s="58">
        <f t="shared" si="8"/>
        <v>0</v>
      </c>
      <c r="AC22" s="58">
        <f t="shared" si="14"/>
        <v>0</v>
      </c>
      <c r="AD22" s="58">
        <f t="shared" si="10"/>
        <v>0</v>
      </c>
      <c r="AE22" s="58">
        <f t="shared" si="11"/>
        <v>0</v>
      </c>
      <c r="AF22" s="59">
        <f t="shared" si="12"/>
        <v>0</v>
      </c>
    </row>
    <row r="23" spans="2:32" ht="11.25">
      <c r="B23" s="105" t="s">
        <v>112</v>
      </c>
      <c r="C23" s="106"/>
      <c r="D23" s="109">
        <v>0</v>
      </c>
      <c r="E23" s="62">
        <f t="shared" si="13"/>
        <v>0</v>
      </c>
      <c r="F23" s="22">
        <v>90</v>
      </c>
      <c r="G23" s="22">
        <f t="shared" si="0"/>
        <v>0</v>
      </c>
      <c r="H23" s="22">
        <v>110</v>
      </c>
      <c r="I23" s="22">
        <f t="shared" si="1"/>
        <v>6.111111111111111</v>
      </c>
      <c r="J23" s="50">
        <f t="shared" si="15"/>
        <v>0</v>
      </c>
      <c r="K23" s="20"/>
      <c r="L23" s="49">
        <v>87</v>
      </c>
      <c r="M23" s="22">
        <v>16</v>
      </c>
      <c r="N23" s="22">
        <v>0.02</v>
      </c>
      <c r="O23" s="22">
        <v>0.93</v>
      </c>
      <c r="P23" s="22">
        <v>1.2</v>
      </c>
      <c r="Q23" s="22">
        <v>8.3</v>
      </c>
      <c r="R23" s="22">
        <v>0.91</v>
      </c>
      <c r="S23" s="22">
        <v>0.62</v>
      </c>
      <c r="T23" s="22">
        <v>3.5</v>
      </c>
      <c r="U23" s="50">
        <v>0</v>
      </c>
      <c r="V23" s="20"/>
      <c r="W23" s="57">
        <f t="shared" si="3"/>
        <v>0</v>
      </c>
      <c r="X23" s="58">
        <f t="shared" si="4"/>
        <v>0</v>
      </c>
      <c r="Y23" s="58">
        <f t="shared" si="5"/>
        <v>0</v>
      </c>
      <c r="Z23" s="58">
        <f t="shared" si="6"/>
        <v>0</v>
      </c>
      <c r="AA23" s="58">
        <f t="shared" si="7"/>
        <v>0</v>
      </c>
      <c r="AB23" s="58">
        <f t="shared" si="8"/>
        <v>0</v>
      </c>
      <c r="AC23" s="58">
        <f t="shared" si="14"/>
        <v>0</v>
      </c>
      <c r="AD23" s="58">
        <f t="shared" si="10"/>
        <v>0</v>
      </c>
      <c r="AE23" s="58">
        <f t="shared" si="11"/>
        <v>0</v>
      </c>
      <c r="AF23" s="59">
        <f t="shared" si="12"/>
        <v>0</v>
      </c>
    </row>
    <row r="24" spans="2:32" ht="11.25">
      <c r="B24" s="69" t="s">
        <v>36</v>
      </c>
      <c r="C24" s="17"/>
      <c r="D24" s="109">
        <v>0</v>
      </c>
      <c r="E24" s="62">
        <f t="shared" si="13"/>
        <v>0</v>
      </c>
      <c r="F24" s="22">
        <v>75</v>
      </c>
      <c r="G24" s="22">
        <f t="shared" si="0"/>
        <v>0</v>
      </c>
      <c r="H24" s="22">
        <v>160</v>
      </c>
      <c r="I24" s="22">
        <f t="shared" si="1"/>
        <v>10.666666666666668</v>
      </c>
      <c r="J24" s="50">
        <f t="shared" si="15"/>
        <v>0</v>
      </c>
      <c r="K24" s="20"/>
      <c r="L24" s="49">
        <v>72</v>
      </c>
      <c r="M24" s="22">
        <v>5.8</v>
      </c>
      <c r="N24" s="22">
        <v>1</v>
      </c>
      <c r="O24" s="22">
        <v>0.11</v>
      </c>
      <c r="P24" s="22">
        <v>3.84</v>
      </c>
      <c r="Q24" s="22">
        <v>0</v>
      </c>
      <c r="R24" s="22">
        <v>0.77</v>
      </c>
      <c r="S24" s="22">
        <v>0.49</v>
      </c>
      <c r="T24" s="22">
        <v>0.1</v>
      </c>
      <c r="U24" s="50">
        <v>0</v>
      </c>
      <c r="V24" s="20"/>
      <c r="W24" s="57">
        <f t="shared" si="3"/>
        <v>0</v>
      </c>
      <c r="X24" s="58">
        <f t="shared" si="4"/>
        <v>0</v>
      </c>
      <c r="Y24" s="58">
        <f t="shared" si="5"/>
        <v>0</v>
      </c>
      <c r="Z24" s="58">
        <f t="shared" si="6"/>
        <v>0</v>
      </c>
      <c r="AA24" s="58">
        <f t="shared" si="7"/>
        <v>0</v>
      </c>
      <c r="AB24" s="58">
        <f t="shared" si="8"/>
        <v>0</v>
      </c>
      <c r="AC24" s="58">
        <f t="shared" si="14"/>
        <v>0</v>
      </c>
      <c r="AD24" s="58">
        <f t="shared" si="10"/>
        <v>0</v>
      </c>
      <c r="AE24" s="58">
        <f t="shared" si="11"/>
        <v>0</v>
      </c>
      <c r="AF24" s="59">
        <f t="shared" si="12"/>
        <v>0</v>
      </c>
    </row>
    <row r="25" spans="2:32" ht="11.25">
      <c r="B25" s="105" t="s">
        <v>37</v>
      </c>
      <c r="C25" s="106"/>
      <c r="D25" s="109">
        <v>0</v>
      </c>
      <c r="E25" s="62">
        <f t="shared" si="13"/>
        <v>0</v>
      </c>
      <c r="F25" s="22">
        <v>92</v>
      </c>
      <c r="G25" s="22">
        <f t="shared" si="0"/>
        <v>0</v>
      </c>
      <c r="H25" s="22">
        <v>175</v>
      </c>
      <c r="I25" s="22">
        <f t="shared" si="1"/>
        <v>9.510869565217392</v>
      </c>
      <c r="J25" s="50">
        <f t="shared" si="15"/>
        <v>0</v>
      </c>
      <c r="K25" s="20"/>
      <c r="L25" s="49">
        <v>95</v>
      </c>
      <c r="M25" s="22">
        <v>23</v>
      </c>
      <c r="N25" s="22">
        <v>0.15</v>
      </c>
      <c r="O25" s="22">
        <v>0.58</v>
      </c>
      <c r="P25" s="22">
        <v>1.1</v>
      </c>
      <c r="Q25" s="22">
        <v>29</v>
      </c>
      <c r="R25" s="22">
        <v>1.07</v>
      </c>
      <c r="S25" s="22">
        <v>0.73</v>
      </c>
      <c r="T25" s="22">
        <v>4</v>
      </c>
      <c r="U25" s="50">
        <v>0</v>
      </c>
      <c r="V25" s="20"/>
      <c r="W25" s="57">
        <f t="shared" si="3"/>
        <v>0</v>
      </c>
      <c r="X25" s="58">
        <f t="shared" si="4"/>
        <v>0</v>
      </c>
      <c r="Y25" s="58">
        <f t="shared" si="5"/>
        <v>0</v>
      </c>
      <c r="Z25" s="58">
        <f t="shared" si="6"/>
        <v>0</v>
      </c>
      <c r="AA25" s="58">
        <f t="shared" si="7"/>
        <v>0</v>
      </c>
      <c r="AB25" s="58">
        <f t="shared" si="8"/>
        <v>0</v>
      </c>
      <c r="AC25" s="58">
        <f t="shared" si="14"/>
        <v>0</v>
      </c>
      <c r="AD25" s="58">
        <f t="shared" si="10"/>
        <v>0</v>
      </c>
      <c r="AE25" s="58">
        <f t="shared" si="11"/>
        <v>0</v>
      </c>
      <c r="AF25" s="59">
        <f t="shared" si="12"/>
        <v>0</v>
      </c>
    </row>
    <row r="26" spans="2:32" ht="11.25">
      <c r="B26" s="105" t="s">
        <v>38</v>
      </c>
      <c r="C26" s="106"/>
      <c r="D26" s="109">
        <v>0</v>
      </c>
      <c r="E26" s="62">
        <f t="shared" si="13"/>
        <v>0</v>
      </c>
      <c r="F26" s="22">
        <v>92</v>
      </c>
      <c r="G26" s="22">
        <f t="shared" si="0"/>
        <v>0</v>
      </c>
      <c r="H26" s="22">
        <v>120</v>
      </c>
      <c r="I26" s="22">
        <f t="shared" si="1"/>
        <v>6.521739130434782</v>
      </c>
      <c r="J26" s="50">
        <f t="shared" si="15"/>
        <v>0</v>
      </c>
      <c r="K26" s="20"/>
      <c r="L26" s="49">
        <v>88</v>
      </c>
      <c r="M26" s="22">
        <v>28</v>
      </c>
      <c r="N26" s="22">
        <v>0.28</v>
      </c>
      <c r="O26" s="22">
        <v>0.79</v>
      </c>
      <c r="P26" s="22">
        <v>0.17</v>
      </c>
      <c r="Q26" s="22">
        <v>8</v>
      </c>
      <c r="R26" s="22">
        <v>1</v>
      </c>
      <c r="S26" s="22">
        <v>0.68</v>
      </c>
      <c r="T26" s="22">
        <v>10.5</v>
      </c>
      <c r="U26" s="50">
        <v>0</v>
      </c>
      <c r="V26" s="20"/>
      <c r="W26" s="57">
        <f t="shared" si="3"/>
        <v>0</v>
      </c>
      <c r="X26" s="58">
        <f t="shared" si="4"/>
        <v>0</v>
      </c>
      <c r="Y26" s="58">
        <f t="shared" si="5"/>
        <v>0</v>
      </c>
      <c r="Z26" s="58">
        <f t="shared" si="6"/>
        <v>0</v>
      </c>
      <c r="AA26" s="58">
        <f t="shared" si="7"/>
        <v>0</v>
      </c>
      <c r="AB26" s="58">
        <f t="shared" si="8"/>
        <v>0</v>
      </c>
      <c r="AC26" s="58">
        <f t="shared" si="14"/>
        <v>0</v>
      </c>
      <c r="AD26" s="58">
        <f t="shared" si="10"/>
        <v>0</v>
      </c>
      <c r="AE26" s="58">
        <f t="shared" si="11"/>
        <v>0</v>
      </c>
      <c r="AF26" s="59">
        <f t="shared" si="12"/>
        <v>0</v>
      </c>
    </row>
    <row r="27" spans="2:32" ht="11.25">
      <c r="B27" s="69" t="s">
        <v>101</v>
      </c>
      <c r="C27" s="17"/>
      <c r="D27" s="109">
        <v>0</v>
      </c>
      <c r="E27" s="62">
        <f t="shared" si="13"/>
        <v>0</v>
      </c>
      <c r="F27" s="22">
        <v>92</v>
      </c>
      <c r="G27" s="22">
        <f>D27*(F27/100)</f>
        <v>0</v>
      </c>
      <c r="H27" s="22">
        <v>80</v>
      </c>
      <c r="I27" s="22">
        <f>H27/((2000)*(F27/100))*100</f>
        <v>4.3478260869565215</v>
      </c>
      <c r="J27" s="50">
        <f>D27*(H27/2000)</f>
        <v>0</v>
      </c>
      <c r="K27" s="20"/>
      <c r="L27" s="49">
        <v>33</v>
      </c>
      <c r="M27" s="22">
        <v>6.7</v>
      </c>
      <c r="N27" s="22">
        <v>0.08</v>
      </c>
      <c r="O27" s="22">
        <v>0.59</v>
      </c>
      <c r="P27" s="22">
        <v>0</v>
      </c>
      <c r="Q27" s="22">
        <v>33</v>
      </c>
      <c r="R27" s="22">
        <v>0.25</v>
      </c>
      <c r="S27" s="22">
        <v>0</v>
      </c>
      <c r="T27" s="22">
        <v>5.6</v>
      </c>
      <c r="U27" s="50">
        <v>0</v>
      </c>
      <c r="V27" s="20"/>
      <c r="W27" s="57">
        <f>G27*(L27/100)</f>
        <v>0</v>
      </c>
      <c r="X27" s="58">
        <f>G27*(M27/100)</f>
        <v>0</v>
      </c>
      <c r="Y27" s="58">
        <f>G27*(N27/100)</f>
        <v>0</v>
      </c>
      <c r="Z27" s="58">
        <f>G27*(O27/100)</f>
        <v>0</v>
      </c>
      <c r="AA27" s="58">
        <f>G27*(P27/100)</f>
        <v>0</v>
      </c>
      <c r="AB27" s="58">
        <f>G27*(Q27/100)</f>
        <v>0</v>
      </c>
      <c r="AC27" s="58">
        <f>G27*R27</f>
        <v>0</v>
      </c>
      <c r="AD27" s="58">
        <f>G27*S27</f>
        <v>0</v>
      </c>
      <c r="AE27" s="58">
        <f>G27*(T27/100)</f>
        <v>0</v>
      </c>
      <c r="AF27" s="59">
        <f>G27*(U27/100)</f>
        <v>0</v>
      </c>
    </row>
    <row r="28" spans="2:32" ht="11.25">
      <c r="B28" s="105" t="s">
        <v>39</v>
      </c>
      <c r="C28" s="106"/>
      <c r="D28" s="109">
        <v>0</v>
      </c>
      <c r="E28" s="62">
        <f t="shared" si="13"/>
        <v>0</v>
      </c>
      <c r="F28" s="22">
        <v>90</v>
      </c>
      <c r="G28" s="22">
        <f t="shared" si="0"/>
        <v>0</v>
      </c>
      <c r="H28" s="22">
        <v>140</v>
      </c>
      <c r="I28" s="22">
        <f t="shared" si="1"/>
        <v>7.777777777777778</v>
      </c>
      <c r="J28" s="50">
        <f t="shared" si="15"/>
        <v>0</v>
      </c>
      <c r="K28" s="20"/>
      <c r="L28" s="49">
        <v>97</v>
      </c>
      <c r="M28" s="22">
        <v>11</v>
      </c>
      <c r="N28" s="22">
        <v>0.04</v>
      </c>
      <c r="O28" s="22">
        <v>0.45</v>
      </c>
      <c r="P28" s="22">
        <v>0.5</v>
      </c>
      <c r="Q28" s="22">
        <v>5</v>
      </c>
      <c r="R28" s="22">
        <v>0.99</v>
      </c>
      <c r="S28" s="22">
        <v>0.67</v>
      </c>
      <c r="T28" s="22">
        <v>5.7</v>
      </c>
      <c r="U28" s="50">
        <v>0</v>
      </c>
      <c r="V28" s="20"/>
      <c r="W28" s="57">
        <f t="shared" si="3"/>
        <v>0</v>
      </c>
      <c r="X28" s="58">
        <f t="shared" si="4"/>
        <v>0</v>
      </c>
      <c r="Y28" s="58">
        <f t="shared" si="5"/>
        <v>0</v>
      </c>
      <c r="Z28" s="58">
        <f t="shared" si="6"/>
        <v>0</v>
      </c>
      <c r="AA28" s="58">
        <f t="shared" si="7"/>
        <v>0</v>
      </c>
      <c r="AB28" s="58">
        <f t="shared" si="8"/>
        <v>0</v>
      </c>
      <c r="AC28" s="58">
        <f t="shared" si="14"/>
        <v>0</v>
      </c>
      <c r="AD28" s="58">
        <f t="shared" si="10"/>
        <v>0</v>
      </c>
      <c r="AE28" s="58">
        <f t="shared" si="11"/>
        <v>0</v>
      </c>
      <c r="AF28" s="59">
        <f t="shared" si="12"/>
        <v>0</v>
      </c>
    </row>
    <row r="29" spans="2:32" ht="11.25">
      <c r="B29" s="69" t="s">
        <v>40</v>
      </c>
      <c r="C29" s="17"/>
      <c r="D29" s="109">
        <v>0</v>
      </c>
      <c r="E29" s="62">
        <f t="shared" si="13"/>
        <v>0</v>
      </c>
      <c r="F29" s="22">
        <v>100</v>
      </c>
      <c r="G29" s="22">
        <f t="shared" si="0"/>
        <v>0</v>
      </c>
      <c r="H29" s="22">
        <v>75</v>
      </c>
      <c r="I29" s="22">
        <f t="shared" si="1"/>
        <v>3.75</v>
      </c>
      <c r="J29" s="50">
        <f t="shared" si="15"/>
        <v>0</v>
      </c>
      <c r="K29" s="20"/>
      <c r="L29" s="49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50">
        <v>100</v>
      </c>
      <c r="V29" s="20"/>
      <c r="W29" s="57">
        <f t="shared" si="3"/>
        <v>0</v>
      </c>
      <c r="X29" s="58">
        <f t="shared" si="4"/>
        <v>0</v>
      </c>
      <c r="Y29" s="58">
        <f t="shared" si="5"/>
        <v>0</v>
      </c>
      <c r="Z29" s="58">
        <f t="shared" si="6"/>
        <v>0</v>
      </c>
      <c r="AA29" s="58">
        <f t="shared" si="7"/>
        <v>0</v>
      </c>
      <c r="AB29" s="58">
        <f t="shared" si="8"/>
        <v>0</v>
      </c>
      <c r="AC29" s="58">
        <f t="shared" si="14"/>
        <v>0</v>
      </c>
      <c r="AD29" s="58">
        <f t="shared" si="10"/>
        <v>0</v>
      </c>
      <c r="AE29" s="58">
        <f t="shared" si="11"/>
        <v>0</v>
      </c>
      <c r="AF29" s="59">
        <f t="shared" si="12"/>
        <v>0</v>
      </c>
    </row>
    <row r="30" spans="2:32" ht="11.25">
      <c r="B30" s="69" t="s">
        <v>41</v>
      </c>
      <c r="C30" s="17"/>
      <c r="D30" s="109">
        <v>0</v>
      </c>
      <c r="E30" s="62">
        <f t="shared" si="13"/>
        <v>0</v>
      </c>
      <c r="F30" s="22">
        <v>99</v>
      </c>
      <c r="G30" s="22">
        <f t="shared" si="0"/>
        <v>0</v>
      </c>
      <c r="H30" s="22">
        <v>300</v>
      </c>
      <c r="I30" s="22">
        <f t="shared" si="1"/>
        <v>15.151515151515152</v>
      </c>
      <c r="J30" s="50">
        <f t="shared" si="15"/>
        <v>0</v>
      </c>
      <c r="K30" s="20"/>
      <c r="L30" s="49">
        <v>2.5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2.67</v>
      </c>
      <c r="S30" s="22">
        <v>1.96</v>
      </c>
      <c r="T30" s="22">
        <v>99</v>
      </c>
      <c r="U30" s="50">
        <v>0</v>
      </c>
      <c r="V30" s="20"/>
      <c r="W30" s="57">
        <f t="shared" si="3"/>
        <v>0</v>
      </c>
      <c r="X30" s="58">
        <f t="shared" si="4"/>
        <v>0</v>
      </c>
      <c r="Y30" s="58">
        <f t="shared" si="5"/>
        <v>0</v>
      </c>
      <c r="Z30" s="58">
        <f t="shared" si="6"/>
        <v>0</v>
      </c>
      <c r="AA30" s="58">
        <f t="shared" si="7"/>
        <v>0</v>
      </c>
      <c r="AB30" s="58">
        <f t="shared" si="8"/>
        <v>0</v>
      </c>
      <c r="AC30" s="58">
        <f t="shared" si="14"/>
        <v>0</v>
      </c>
      <c r="AD30" s="58">
        <f t="shared" si="10"/>
        <v>0</v>
      </c>
      <c r="AE30" s="58">
        <f t="shared" si="11"/>
        <v>0</v>
      </c>
      <c r="AF30" s="59">
        <f t="shared" si="12"/>
        <v>0</v>
      </c>
    </row>
    <row r="31" spans="2:32" ht="11.25">
      <c r="B31" s="105" t="s">
        <v>113</v>
      </c>
      <c r="C31" s="106"/>
      <c r="D31" s="109">
        <v>0</v>
      </c>
      <c r="E31" s="62">
        <f t="shared" si="13"/>
        <v>0</v>
      </c>
      <c r="F31" s="22">
        <v>90</v>
      </c>
      <c r="G31" s="22">
        <f t="shared" si="0"/>
        <v>0</v>
      </c>
      <c r="H31" s="22">
        <v>75</v>
      </c>
      <c r="I31" s="22">
        <f aca="true" t="shared" si="16" ref="I31:I38">H31/((2000)*(F31/100))*100</f>
        <v>4.166666666666666</v>
      </c>
      <c r="J31" s="50">
        <f aca="true" t="shared" si="17" ref="J31:J38">D31*(H31/2000)</f>
        <v>0</v>
      </c>
      <c r="K31" s="20"/>
      <c r="L31" s="49">
        <v>70</v>
      </c>
      <c r="M31" s="22">
        <v>14.2</v>
      </c>
      <c r="N31" s="22">
        <v>0.48</v>
      </c>
      <c r="O31" s="22">
        <v>0.43</v>
      </c>
      <c r="P31" s="22">
        <v>0</v>
      </c>
      <c r="Q31" s="22">
        <v>13.1</v>
      </c>
      <c r="R31" s="22">
        <v>0.7</v>
      </c>
      <c r="S31" s="22">
        <v>0.44</v>
      </c>
      <c r="T31" s="22">
        <v>5.2</v>
      </c>
      <c r="U31" s="50">
        <v>0</v>
      </c>
      <c r="V31" s="20"/>
      <c r="W31" s="57">
        <f aca="true" t="shared" si="18" ref="W31:W38">G31*(L31/100)</f>
        <v>0</v>
      </c>
      <c r="X31" s="58">
        <f aca="true" t="shared" si="19" ref="X31:X38">G31*(M31/100)</f>
        <v>0</v>
      </c>
      <c r="Y31" s="58">
        <f aca="true" t="shared" si="20" ref="Y31:Y38">G31*(N31/100)</f>
        <v>0</v>
      </c>
      <c r="Z31" s="58">
        <f aca="true" t="shared" si="21" ref="Z31:Z38">G31*(O31/100)</f>
        <v>0</v>
      </c>
      <c r="AA31" s="58">
        <f aca="true" t="shared" si="22" ref="AA31:AA38">G31*(P31/100)</f>
        <v>0</v>
      </c>
      <c r="AB31" s="58">
        <f aca="true" t="shared" si="23" ref="AB31:AB38">G31*(Q31/100)</f>
        <v>0</v>
      </c>
      <c r="AC31" s="58">
        <f t="shared" si="14"/>
        <v>0</v>
      </c>
      <c r="AD31" s="58">
        <f aca="true" t="shared" si="24" ref="AD31:AD38">G31*S31</f>
        <v>0</v>
      </c>
      <c r="AE31" s="58">
        <f aca="true" t="shared" si="25" ref="AE31:AE38">G31*(T31/100)</f>
        <v>0</v>
      </c>
      <c r="AF31" s="59">
        <f aca="true" t="shared" si="26" ref="AF31:AF36">G31*(U31/100)</f>
        <v>0</v>
      </c>
    </row>
    <row r="32" spans="2:32" ht="11.25">
      <c r="B32" s="105" t="s">
        <v>114</v>
      </c>
      <c r="C32" s="106"/>
      <c r="D32" s="109">
        <v>0</v>
      </c>
      <c r="E32" s="62">
        <f t="shared" si="13"/>
        <v>0</v>
      </c>
      <c r="F32" s="22">
        <v>90</v>
      </c>
      <c r="G32" s="22">
        <f t="shared" si="0"/>
        <v>0</v>
      </c>
      <c r="H32" s="22">
        <v>110</v>
      </c>
      <c r="I32" s="22">
        <f t="shared" si="16"/>
        <v>6.111111111111111</v>
      </c>
      <c r="J32" s="50">
        <f t="shared" si="17"/>
        <v>0</v>
      </c>
      <c r="K32" s="20"/>
      <c r="L32" s="49">
        <v>69</v>
      </c>
      <c r="M32" s="22">
        <v>18.4</v>
      </c>
      <c r="N32" s="22">
        <v>0.13</v>
      </c>
      <c r="O32" s="22">
        <v>0.99</v>
      </c>
      <c r="P32" s="22">
        <v>1.13</v>
      </c>
      <c r="Q32" s="22">
        <v>8.2</v>
      </c>
      <c r="R32" s="22">
        <v>0.71</v>
      </c>
      <c r="S32" s="22">
        <v>0.45</v>
      </c>
      <c r="T32" s="22">
        <v>4.9</v>
      </c>
      <c r="U32" s="50">
        <v>0</v>
      </c>
      <c r="V32" s="20"/>
      <c r="W32" s="57">
        <f t="shared" si="18"/>
        <v>0</v>
      </c>
      <c r="X32" s="58">
        <f t="shared" si="19"/>
        <v>0</v>
      </c>
      <c r="Y32" s="58">
        <f t="shared" si="20"/>
        <v>0</v>
      </c>
      <c r="Z32" s="58">
        <f t="shared" si="21"/>
        <v>0</v>
      </c>
      <c r="AA32" s="58">
        <f t="shared" si="22"/>
        <v>0</v>
      </c>
      <c r="AB32" s="58">
        <f t="shared" si="23"/>
        <v>0</v>
      </c>
      <c r="AC32" s="58">
        <f t="shared" si="14"/>
        <v>0</v>
      </c>
      <c r="AD32" s="58">
        <f t="shared" si="24"/>
        <v>0</v>
      </c>
      <c r="AE32" s="58">
        <f t="shared" si="25"/>
        <v>0</v>
      </c>
      <c r="AF32" s="59">
        <f t="shared" si="26"/>
        <v>0</v>
      </c>
    </row>
    <row r="33" spans="2:32" ht="11.25">
      <c r="B33" s="69" t="s">
        <v>141</v>
      </c>
      <c r="C33" s="17"/>
      <c r="D33" s="109">
        <v>0</v>
      </c>
      <c r="E33" s="62">
        <f t="shared" si="13"/>
        <v>0</v>
      </c>
      <c r="F33" s="22">
        <v>90</v>
      </c>
      <c r="G33" s="22">
        <f>D33*(F33/100)</f>
        <v>0</v>
      </c>
      <c r="H33" s="22">
        <v>110</v>
      </c>
      <c r="I33" s="22">
        <f t="shared" si="16"/>
        <v>6.111111111111111</v>
      </c>
      <c r="J33" s="50">
        <f t="shared" si="17"/>
        <v>0</v>
      </c>
      <c r="K33" s="20"/>
      <c r="L33" s="49">
        <v>102.7</v>
      </c>
      <c r="M33" s="22">
        <v>11.9</v>
      </c>
      <c r="N33" s="22">
        <v>0.22</v>
      </c>
      <c r="O33" s="22">
        <v>0.3</v>
      </c>
      <c r="P33" s="22">
        <v>1.18</v>
      </c>
      <c r="Q33" s="22">
        <v>0</v>
      </c>
      <c r="R33" s="22">
        <v>1.16</v>
      </c>
      <c r="S33" s="22">
        <v>0.82</v>
      </c>
      <c r="T33" s="22">
        <v>20.5</v>
      </c>
      <c r="U33" s="50">
        <v>0</v>
      </c>
      <c r="V33" s="20"/>
      <c r="W33" s="57">
        <f t="shared" si="18"/>
        <v>0</v>
      </c>
      <c r="X33" s="58">
        <f t="shared" si="19"/>
        <v>0</v>
      </c>
      <c r="Y33" s="58">
        <f t="shared" si="20"/>
        <v>0</v>
      </c>
      <c r="Z33" s="58">
        <f t="shared" si="21"/>
        <v>0</v>
      </c>
      <c r="AA33" s="58">
        <f t="shared" si="22"/>
        <v>0</v>
      </c>
      <c r="AB33" s="58">
        <f t="shared" si="23"/>
        <v>0</v>
      </c>
      <c r="AC33" s="58">
        <f t="shared" si="14"/>
        <v>0</v>
      </c>
      <c r="AD33" s="58">
        <f t="shared" si="24"/>
        <v>0</v>
      </c>
      <c r="AE33" s="58">
        <f t="shared" si="25"/>
        <v>0</v>
      </c>
      <c r="AF33" s="59">
        <f t="shared" si="26"/>
        <v>0</v>
      </c>
    </row>
    <row r="34" spans="2:32" ht="11.25" hidden="1">
      <c r="B34" s="69" t="s">
        <v>115</v>
      </c>
      <c r="C34" s="17"/>
      <c r="D34" s="109">
        <v>0</v>
      </c>
      <c r="E34" s="62">
        <f t="shared" si="13"/>
        <v>0</v>
      </c>
      <c r="F34" s="22">
        <v>90</v>
      </c>
      <c r="G34" s="22">
        <f t="shared" si="0"/>
        <v>0</v>
      </c>
      <c r="H34" s="22">
        <v>125</v>
      </c>
      <c r="I34" s="22">
        <f t="shared" si="16"/>
        <v>6.944444444444445</v>
      </c>
      <c r="J34" s="50">
        <f t="shared" si="17"/>
        <v>0</v>
      </c>
      <c r="K34" s="20"/>
      <c r="L34" s="49">
        <v>89</v>
      </c>
      <c r="M34" s="22">
        <v>10.7</v>
      </c>
      <c r="N34" s="22">
        <v>0.14</v>
      </c>
      <c r="O34" s="22">
        <v>0.26</v>
      </c>
      <c r="P34" s="22">
        <v>0.53</v>
      </c>
      <c r="Q34" s="22">
        <v>1.3</v>
      </c>
      <c r="R34" s="22">
        <v>1</v>
      </c>
      <c r="S34" s="22">
        <v>0.69</v>
      </c>
      <c r="T34" s="22">
        <v>12.7</v>
      </c>
      <c r="U34" s="50">
        <v>0</v>
      </c>
      <c r="V34" s="20"/>
      <c r="W34" s="57">
        <f t="shared" si="18"/>
        <v>0</v>
      </c>
      <c r="X34" s="58">
        <f t="shared" si="19"/>
        <v>0</v>
      </c>
      <c r="Y34" s="58">
        <f t="shared" si="20"/>
        <v>0</v>
      </c>
      <c r="Z34" s="58">
        <f t="shared" si="21"/>
        <v>0</v>
      </c>
      <c r="AA34" s="58">
        <f t="shared" si="22"/>
        <v>0</v>
      </c>
      <c r="AB34" s="58">
        <f t="shared" si="23"/>
        <v>0</v>
      </c>
      <c r="AC34" s="58">
        <f t="shared" si="14"/>
        <v>0</v>
      </c>
      <c r="AD34" s="58">
        <f t="shared" si="24"/>
        <v>0</v>
      </c>
      <c r="AE34" s="58">
        <f t="shared" si="25"/>
        <v>0</v>
      </c>
      <c r="AF34" s="59">
        <f t="shared" si="26"/>
        <v>0</v>
      </c>
    </row>
    <row r="35" spans="2:32" ht="11.25">
      <c r="B35" s="69" t="s">
        <v>107</v>
      </c>
      <c r="C35" s="17"/>
      <c r="D35" s="109">
        <v>0</v>
      </c>
      <c r="E35" s="62">
        <f t="shared" si="13"/>
        <v>0</v>
      </c>
      <c r="F35" s="22">
        <v>91</v>
      </c>
      <c r="G35" s="22">
        <f t="shared" si="0"/>
        <v>0</v>
      </c>
      <c r="H35" s="22">
        <v>120</v>
      </c>
      <c r="I35" s="22">
        <f t="shared" si="16"/>
        <v>6.593406593406594</v>
      </c>
      <c r="J35" s="50">
        <f t="shared" si="17"/>
        <v>0</v>
      </c>
      <c r="K35" s="20"/>
      <c r="L35" s="49">
        <v>78</v>
      </c>
      <c r="M35" s="22">
        <v>7.3</v>
      </c>
      <c r="N35" s="22">
        <v>1.84</v>
      </c>
      <c r="O35" s="22">
        <v>0.12</v>
      </c>
      <c r="P35" s="22">
        <v>0.79</v>
      </c>
      <c r="Q35" s="22">
        <v>12.7</v>
      </c>
      <c r="R35" s="22">
        <v>0.86</v>
      </c>
      <c r="S35" s="22">
        <v>0.57</v>
      </c>
      <c r="T35" s="22">
        <v>3.7</v>
      </c>
      <c r="U35" s="50">
        <v>0</v>
      </c>
      <c r="V35" s="20"/>
      <c r="W35" s="57">
        <f t="shared" si="18"/>
        <v>0</v>
      </c>
      <c r="X35" s="58">
        <f t="shared" si="19"/>
        <v>0</v>
      </c>
      <c r="Y35" s="58">
        <f t="shared" si="20"/>
        <v>0</v>
      </c>
      <c r="Z35" s="58">
        <f t="shared" si="21"/>
        <v>0</v>
      </c>
      <c r="AA35" s="58">
        <f t="shared" si="22"/>
        <v>0</v>
      </c>
      <c r="AB35" s="58">
        <f t="shared" si="23"/>
        <v>0</v>
      </c>
      <c r="AC35" s="58">
        <f>G35*R35</f>
        <v>0</v>
      </c>
      <c r="AD35" s="58">
        <f t="shared" si="24"/>
        <v>0</v>
      </c>
      <c r="AE35" s="58">
        <f t="shared" si="25"/>
        <v>0</v>
      </c>
      <c r="AF35" s="59">
        <f t="shared" si="26"/>
        <v>0</v>
      </c>
    </row>
    <row r="36" spans="2:32" ht="11.25">
      <c r="B36" s="69" t="s">
        <v>148</v>
      </c>
      <c r="C36" s="17"/>
      <c r="D36" s="109">
        <v>0</v>
      </c>
      <c r="E36" s="62">
        <f t="shared" si="13"/>
        <v>0</v>
      </c>
      <c r="F36" s="22">
        <v>92</v>
      </c>
      <c r="G36" s="22">
        <f>D36*(F36/100)</f>
        <v>0</v>
      </c>
      <c r="H36" s="22">
        <v>121</v>
      </c>
      <c r="I36" s="22">
        <f>H36/((2000)*(F36/100))*100</f>
        <v>6.576086956521738</v>
      </c>
      <c r="J36" s="50">
        <f>D36*(H36/2000)</f>
        <v>0</v>
      </c>
      <c r="K36" s="20"/>
      <c r="L36" s="49">
        <v>72.86</v>
      </c>
      <c r="M36" s="22">
        <v>12.69</v>
      </c>
      <c r="N36" s="22">
        <v>0.59</v>
      </c>
      <c r="O36" s="22">
        <v>0.3</v>
      </c>
      <c r="P36" s="22">
        <v>0.76</v>
      </c>
      <c r="Q36" s="22">
        <v>21.66</v>
      </c>
      <c r="R36" s="22">
        <v>0.78</v>
      </c>
      <c r="S36" s="22">
        <v>0.45</v>
      </c>
      <c r="T36" s="22">
        <v>3.97</v>
      </c>
      <c r="U36" s="50">
        <v>0</v>
      </c>
      <c r="V36" s="20"/>
      <c r="W36" s="57">
        <f t="shared" si="18"/>
        <v>0</v>
      </c>
      <c r="X36" s="58">
        <f t="shared" si="19"/>
        <v>0</v>
      </c>
      <c r="Y36" s="58">
        <f t="shared" si="20"/>
        <v>0</v>
      </c>
      <c r="Z36" s="58">
        <f t="shared" si="21"/>
        <v>0</v>
      </c>
      <c r="AA36" s="58">
        <f t="shared" si="22"/>
        <v>0</v>
      </c>
      <c r="AB36" s="58">
        <f t="shared" si="23"/>
        <v>0</v>
      </c>
      <c r="AC36" s="58">
        <f>G36*R36</f>
        <v>0</v>
      </c>
      <c r="AD36" s="58">
        <f t="shared" si="24"/>
        <v>0</v>
      </c>
      <c r="AE36" s="58">
        <f t="shared" si="25"/>
        <v>0</v>
      </c>
      <c r="AF36" s="59">
        <f t="shared" si="26"/>
        <v>0</v>
      </c>
    </row>
    <row r="37" spans="2:32" ht="11.25">
      <c r="B37" s="69" t="s">
        <v>143</v>
      </c>
      <c r="C37" s="17"/>
      <c r="D37" s="109">
        <v>0</v>
      </c>
      <c r="E37" s="62">
        <f t="shared" si="13"/>
        <v>0</v>
      </c>
      <c r="F37" s="22">
        <v>91</v>
      </c>
      <c r="G37" s="22">
        <f>D37*(F37/100)</f>
        <v>0</v>
      </c>
      <c r="H37" s="22">
        <v>154</v>
      </c>
      <c r="I37" s="22">
        <f t="shared" si="16"/>
        <v>8.461538461538462</v>
      </c>
      <c r="J37" s="50">
        <f t="shared" si="17"/>
        <v>0</v>
      </c>
      <c r="K37" s="20"/>
      <c r="L37" s="49">
        <v>80.08</v>
      </c>
      <c r="M37" s="22">
        <v>14.11</v>
      </c>
      <c r="N37" s="22">
        <v>0.18</v>
      </c>
      <c r="O37" s="22">
        <v>0.6</v>
      </c>
      <c r="P37" s="22">
        <v>1.34</v>
      </c>
      <c r="Q37" s="22">
        <v>19.95</v>
      </c>
      <c r="R37" s="22">
        <v>0.85</v>
      </c>
      <c r="S37" s="22">
        <v>0.55</v>
      </c>
      <c r="T37" s="22">
        <v>4.28</v>
      </c>
      <c r="U37" s="50"/>
      <c r="V37" s="20"/>
      <c r="W37" s="57">
        <f t="shared" si="18"/>
        <v>0</v>
      </c>
      <c r="X37" s="58">
        <f t="shared" si="19"/>
        <v>0</v>
      </c>
      <c r="Y37" s="58">
        <f t="shared" si="20"/>
        <v>0</v>
      </c>
      <c r="Z37" s="58">
        <f t="shared" si="21"/>
        <v>0</v>
      </c>
      <c r="AA37" s="58">
        <f t="shared" si="22"/>
        <v>0</v>
      </c>
      <c r="AB37" s="58">
        <f t="shared" si="23"/>
        <v>0</v>
      </c>
      <c r="AC37" s="58">
        <f>G37*R37</f>
        <v>0</v>
      </c>
      <c r="AD37" s="58">
        <f t="shared" si="24"/>
        <v>0</v>
      </c>
      <c r="AE37" s="58">
        <f t="shared" si="25"/>
        <v>0</v>
      </c>
      <c r="AF37" s="59"/>
    </row>
    <row r="38" spans="2:32" ht="11.25">
      <c r="B38" s="105" t="s">
        <v>116</v>
      </c>
      <c r="C38" s="106"/>
      <c r="D38" s="109">
        <v>0</v>
      </c>
      <c r="E38" s="62">
        <f t="shared" si="13"/>
        <v>0</v>
      </c>
      <c r="F38" s="22">
        <v>42.5</v>
      </c>
      <c r="G38" s="22">
        <f t="shared" si="0"/>
        <v>0</v>
      </c>
      <c r="H38" s="22">
        <v>110</v>
      </c>
      <c r="I38" s="22">
        <f t="shared" si="16"/>
        <v>12.941176470588237</v>
      </c>
      <c r="J38" s="50">
        <f t="shared" si="17"/>
        <v>0</v>
      </c>
      <c r="K38" s="20"/>
      <c r="L38" s="49">
        <v>86</v>
      </c>
      <c r="M38" s="22">
        <v>11</v>
      </c>
      <c r="N38" s="22">
        <v>0.05</v>
      </c>
      <c r="O38" s="22">
        <v>0.3</v>
      </c>
      <c r="P38" s="22">
        <v>0</v>
      </c>
      <c r="Q38" s="22">
        <v>0</v>
      </c>
      <c r="R38" s="22">
        <v>1</v>
      </c>
      <c r="S38" s="22">
        <v>0.67</v>
      </c>
      <c r="T38" s="22">
        <v>0</v>
      </c>
      <c r="U38" s="50">
        <v>0</v>
      </c>
      <c r="V38" s="20"/>
      <c r="W38" s="57">
        <f t="shared" si="18"/>
        <v>0</v>
      </c>
      <c r="X38" s="58">
        <f t="shared" si="19"/>
        <v>0</v>
      </c>
      <c r="Y38" s="58">
        <f t="shared" si="20"/>
        <v>0</v>
      </c>
      <c r="Z38" s="58">
        <f t="shared" si="21"/>
        <v>0</v>
      </c>
      <c r="AA38" s="58">
        <f t="shared" si="22"/>
        <v>0</v>
      </c>
      <c r="AB38" s="58">
        <f t="shared" si="23"/>
        <v>0</v>
      </c>
      <c r="AC38" s="58">
        <f t="shared" si="14"/>
        <v>0</v>
      </c>
      <c r="AD38" s="58">
        <f t="shared" si="24"/>
        <v>0</v>
      </c>
      <c r="AE38" s="58">
        <f t="shared" si="25"/>
        <v>0</v>
      </c>
      <c r="AF38" s="59">
        <f>G38*(U38/100)</f>
        <v>0</v>
      </c>
    </row>
    <row r="39" spans="2:32" ht="11.25">
      <c r="B39" s="44" t="s">
        <v>42</v>
      </c>
      <c r="C39" s="18"/>
      <c r="D39" s="110">
        <v>0</v>
      </c>
      <c r="E39" s="35">
        <f t="shared" si="13"/>
        <v>0</v>
      </c>
      <c r="F39" s="36">
        <v>90</v>
      </c>
      <c r="G39" s="36">
        <f t="shared" si="0"/>
        <v>0</v>
      </c>
      <c r="H39" s="36">
        <v>110</v>
      </c>
      <c r="I39" s="36">
        <f t="shared" si="1"/>
        <v>6.111111111111111</v>
      </c>
      <c r="J39" s="52">
        <f t="shared" si="15"/>
        <v>0</v>
      </c>
      <c r="K39" s="22"/>
      <c r="L39" s="51">
        <v>45</v>
      </c>
      <c r="M39" s="36">
        <v>4.1</v>
      </c>
      <c r="N39" s="36">
        <v>0.15</v>
      </c>
      <c r="O39" s="36">
        <v>0.09</v>
      </c>
      <c r="P39" s="36">
        <v>0.87</v>
      </c>
      <c r="Q39" s="36">
        <v>47.8</v>
      </c>
      <c r="R39" s="36">
        <v>0.35</v>
      </c>
      <c r="S39" s="36">
        <v>0.11</v>
      </c>
      <c r="T39" s="36">
        <v>1.7</v>
      </c>
      <c r="U39" s="52">
        <v>0</v>
      </c>
      <c r="V39" s="22"/>
      <c r="W39" s="60">
        <f t="shared" si="3"/>
        <v>0</v>
      </c>
      <c r="X39" s="37">
        <f t="shared" si="4"/>
        <v>0</v>
      </c>
      <c r="Y39" s="37">
        <f t="shared" si="5"/>
        <v>0</v>
      </c>
      <c r="Z39" s="37">
        <f t="shared" si="6"/>
        <v>0</v>
      </c>
      <c r="AA39" s="37">
        <f t="shared" si="7"/>
        <v>0</v>
      </c>
      <c r="AB39" s="37">
        <f t="shared" si="8"/>
        <v>0</v>
      </c>
      <c r="AC39" s="37">
        <f t="shared" si="14"/>
        <v>0</v>
      </c>
      <c r="AD39" s="37">
        <f t="shared" si="10"/>
        <v>0</v>
      </c>
      <c r="AE39" s="37">
        <f t="shared" si="11"/>
        <v>0</v>
      </c>
      <c r="AF39" s="61">
        <f t="shared" si="12"/>
        <v>0</v>
      </c>
    </row>
    <row r="40" spans="4:32" ht="11.25">
      <c r="D40" s="92">
        <f>SUM(D9:D39)</f>
        <v>0</v>
      </c>
      <c r="E40" s="92">
        <f>SUM(E9:E39)</f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 t="s">
        <v>0</v>
      </c>
      <c r="V40" s="20"/>
      <c r="W40" s="57" t="s">
        <v>43</v>
      </c>
      <c r="X40" s="58"/>
      <c r="Y40" s="58"/>
      <c r="Z40" s="58"/>
      <c r="AA40" s="58"/>
      <c r="AB40" s="58"/>
      <c r="AC40" s="58"/>
      <c r="AD40" s="58"/>
      <c r="AE40" s="58"/>
      <c r="AF40" s="59"/>
    </row>
    <row r="41" spans="2:32" ht="11.25">
      <c r="B41" s="3"/>
      <c r="C41" s="3"/>
      <c r="D41" s="3"/>
      <c r="E41" s="3"/>
      <c r="F41" s="21"/>
      <c r="G41" s="21"/>
      <c r="H41" s="21"/>
      <c r="I41" s="21"/>
      <c r="J41" s="21"/>
      <c r="K41" s="22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60">
        <f aca="true" t="shared" si="27" ref="W41:AF41">SUM(W9:W39)</f>
        <v>0</v>
      </c>
      <c r="X41" s="37">
        <f t="shared" si="27"/>
        <v>0</v>
      </c>
      <c r="Y41" s="37">
        <f t="shared" si="27"/>
        <v>0</v>
      </c>
      <c r="Z41" s="37">
        <f t="shared" si="27"/>
        <v>0</v>
      </c>
      <c r="AA41" s="37">
        <f t="shared" si="27"/>
        <v>0</v>
      </c>
      <c r="AB41" s="37">
        <f t="shared" si="27"/>
        <v>0</v>
      </c>
      <c r="AC41" s="37">
        <f t="shared" si="27"/>
        <v>0</v>
      </c>
      <c r="AD41" s="37">
        <f t="shared" si="27"/>
        <v>0</v>
      </c>
      <c r="AE41" s="37">
        <f t="shared" si="27"/>
        <v>0</v>
      </c>
      <c r="AF41" s="61">
        <f t="shared" si="27"/>
        <v>0</v>
      </c>
    </row>
    <row r="42" spans="2:10" ht="11.25">
      <c r="B42" s="23" t="s">
        <v>43</v>
      </c>
      <c r="C42" s="24" t="s">
        <v>124</v>
      </c>
      <c r="D42" s="24"/>
      <c r="E42" s="24">
        <f>SUM(D9:D39)</f>
        <v>0</v>
      </c>
      <c r="F42" s="25"/>
      <c r="G42" s="25">
        <f>SUM(D9:D39)</f>
        <v>0</v>
      </c>
      <c r="H42" s="25"/>
      <c r="I42" s="25" t="s">
        <v>123</v>
      </c>
      <c r="J42" s="26"/>
    </row>
    <row r="43" spans="2:10" ht="11.25">
      <c r="B43" s="27"/>
      <c r="C43" s="17" t="s">
        <v>125</v>
      </c>
      <c r="D43" s="17"/>
      <c r="E43" s="17"/>
      <c r="F43" s="10"/>
      <c r="G43" s="10">
        <f>SUM(G9:G39)</f>
        <v>0</v>
      </c>
      <c r="H43" s="10"/>
      <c r="I43" s="10" t="s">
        <v>44</v>
      </c>
      <c r="J43" s="28"/>
    </row>
    <row r="44" spans="2:10" ht="11.25">
      <c r="B44" s="29"/>
      <c r="C44" s="3" t="s">
        <v>126</v>
      </c>
      <c r="D44" s="3"/>
      <c r="E44" s="3"/>
      <c r="F44" s="5"/>
      <c r="G44" s="5">
        <f>SUM(J9:J39)</f>
        <v>0</v>
      </c>
      <c r="H44" s="5"/>
      <c r="I44" s="5" t="s">
        <v>45</v>
      </c>
      <c r="J44" s="30" t="e">
        <f>(G44/G43)*100</f>
        <v>#DIV/0!</v>
      </c>
    </row>
    <row r="46" spans="2:9" ht="12" thickBot="1">
      <c r="B46" s="3"/>
      <c r="C46" s="3"/>
      <c r="D46" s="3"/>
      <c r="E46" s="3"/>
      <c r="F46" s="5"/>
      <c r="G46" s="5"/>
      <c r="H46" s="5"/>
      <c r="I46" s="10"/>
    </row>
    <row r="47" spans="2:15" ht="12" thickTop="1">
      <c r="B47" s="23" t="s">
        <v>46</v>
      </c>
      <c r="C47" s="24"/>
      <c r="D47" s="24"/>
      <c r="E47" s="24"/>
      <c r="F47" s="25"/>
      <c r="G47" s="88" t="s">
        <v>129</v>
      </c>
      <c r="H47" s="26"/>
      <c r="I47" s="10"/>
      <c r="L47" s="99" t="s">
        <v>152</v>
      </c>
      <c r="M47" s="100"/>
      <c r="N47" s="100"/>
      <c r="O47" s="101"/>
    </row>
    <row r="48" spans="2:15" ht="12" thickBot="1">
      <c r="B48" s="29"/>
      <c r="C48" s="3"/>
      <c r="D48" s="3"/>
      <c r="E48" s="3"/>
      <c r="F48" s="7" t="s">
        <v>47</v>
      </c>
      <c r="G48" s="89" t="s">
        <v>130</v>
      </c>
      <c r="H48" s="75" t="s">
        <v>121</v>
      </c>
      <c r="I48" s="8" t="s">
        <v>122</v>
      </c>
      <c r="L48" s="102" t="s">
        <v>153</v>
      </c>
      <c r="M48" s="103"/>
      <c r="N48" s="103"/>
      <c r="O48" s="104"/>
    </row>
    <row r="49" spans="2:15" ht="12" thickTop="1">
      <c r="B49" s="27" t="s">
        <v>48</v>
      </c>
      <c r="C49" s="17"/>
      <c r="D49" s="17"/>
      <c r="E49" s="17"/>
      <c r="F49" s="10" t="e">
        <f>(G43/G42)*100</f>
        <v>#DIV/0!</v>
      </c>
      <c r="G49" s="82"/>
      <c r="H49" s="28" t="e">
        <f aca="true" t="shared" si="28" ref="H49:H61">F49-G49</f>
        <v>#DIV/0!</v>
      </c>
      <c r="I49" s="39" t="s">
        <v>128</v>
      </c>
      <c r="J49" s="31" t="e">
        <f>G44/(G42/2000)</f>
        <v>#DIV/0!</v>
      </c>
      <c r="L49" s="94" t="s">
        <v>132</v>
      </c>
      <c r="M49" s="10"/>
      <c r="N49" s="10" t="s">
        <v>134</v>
      </c>
      <c r="O49" s="95" t="e">
        <f>(F51*(F$49/100))</f>
        <v>#DIV/0!</v>
      </c>
    </row>
    <row r="50" spans="2:15" ht="11.25">
      <c r="B50" s="27" t="s">
        <v>49</v>
      </c>
      <c r="C50" s="17"/>
      <c r="D50" s="17"/>
      <c r="E50" s="17"/>
      <c r="F50" s="10" t="e">
        <f>(W41/G43)*100</f>
        <v>#DIV/0!</v>
      </c>
      <c r="G50" s="82">
        <v>56</v>
      </c>
      <c r="H50" s="28" t="e">
        <f t="shared" si="28"/>
        <v>#DIV/0!</v>
      </c>
      <c r="I50" s="10" t="s">
        <v>50</v>
      </c>
      <c r="J50" s="11" t="e">
        <f>G44/(G43/2000)</f>
        <v>#DIV/0!</v>
      </c>
      <c r="L50" s="94" t="s">
        <v>133</v>
      </c>
      <c r="M50" s="10"/>
      <c r="N50" s="10" t="s">
        <v>134</v>
      </c>
      <c r="O50" s="95" t="e">
        <f>(F56*(F$49/100))</f>
        <v>#DIV/0!</v>
      </c>
    </row>
    <row r="51" spans="2:15" ht="11.25">
      <c r="B51" s="27" t="s">
        <v>51</v>
      </c>
      <c r="C51" s="17"/>
      <c r="D51" s="17"/>
      <c r="E51" s="17"/>
      <c r="F51" s="10" t="e">
        <f>(X41/G43)*100</f>
        <v>#DIV/0!</v>
      </c>
      <c r="G51" s="82">
        <v>12</v>
      </c>
      <c r="H51" s="28" t="e">
        <f t="shared" si="28"/>
        <v>#DIV/0!</v>
      </c>
      <c r="I51" s="19" t="s">
        <v>52</v>
      </c>
      <c r="J51" s="14" t="e">
        <f>(J50/2000)*J58</f>
        <v>#DIV/0!</v>
      </c>
      <c r="L51" s="94" t="s">
        <v>135</v>
      </c>
      <c r="M51" s="10"/>
      <c r="N51" s="10" t="s">
        <v>136</v>
      </c>
      <c r="O51" s="95" t="e">
        <f>(F52*(F$49/100))</f>
        <v>#DIV/0!</v>
      </c>
    </row>
    <row r="52" spans="2:15" ht="11.25">
      <c r="B52" s="27" t="s">
        <v>53</v>
      </c>
      <c r="C52" s="17"/>
      <c r="D52" s="17"/>
      <c r="E52" s="17"/>
      <c r="F52" s="10" t="e">
        <f>(Y41/G43)*100</f>
        <v>#DIV/0!</v>
      </c>
      <c r="G52" s="82">
        <v>0.39</v>
      </c>
      <c r="H52" s="28" t="e">
        <f t="shared" si="28"/>
        <v>#DIV/0!</v>
      </c>
      <c r="I52" s="8" t="s">
        <v>108</v>
      </c>
      <c r="L52" s="94" t="s">
        <v>137</v>
      </c>
      <c r="M52" s="10"/>
      <c r="N52" s="10" t="s">
        <v>136</v>
      </c>
      <c r="O52" s="95" t="e">
        <f>(F53*(F$49/100))</f>
        <v>#DIV/0!</v>
      </c>
    </row>
    <row r="53" spans="2:15" ht="11.25">
      <c r="B53" s="27" t="s">
        <v>54</v>
      </c>
      <c r="C53" s="17"/>
      <c r="D53" s="17"/>
      <c r="E53" s="17"/>
      <c r="F53" s="10" t="e">
        <f>(Z41/G43)*100</f>
        <v>#DIV/0!</v>
      </c>
      <c r="G53" s="82">
        <v>0.24</v>
      </c>
      <c r="H53" s="28" t="e">
        <f t="shared" si="28"/>
        <v>#DIV/0!</v>
      </c>
      <c r="I53" s="90" t="s">
        <v>55</v>
      </c>
      <c r="J53" s="31">
        <v>500</v>
      </c>
      <c r="L53" s="94" t="s">
        <v>138</v>
      </c>
      <c r="M53" s="10"/>
      <c r="N53" s="10" t="s">
        <v>134</v>
      </c>
      <c r="O53" s="95" t="e">
        <f>(F55*(F$49/100))</f>
        <v>#DIV/0!</v>
      </c>
    </row>
    <row r="54" spans="2:15" ht="11.25">
      <c r="B54" s="27" t="s">
        <v>56</v>
      </c>
      <c r="C54" s="17"/>
      <c r="D54" s="17"/>
      <c r="E54" s="17"/>
      <c r="F54" s="10" t="e">
        <f>F52/F53</f>
        <v>#DIV/0!</v>
      </c>
      <c r="G54" s="82">
        <v>1.2</v>
      </c>
      <c r="H54" s="28" t="e">
        <f t="shared" si="28"/>
        <v>#DIV/0!</v>
      </c>
      <c r="I54" s="91" t="s">
        <v>57</v>
      </c>
      <c r="J54" s="11">
        <v>1000</v>
      </c>
      <c r="L54" s="94" t="s">
        <v>139</v>
      </c>
      <c r="M54" s="10"/>
      <c r="N54" s="10" t="s">
        <v>136</v>
      </c>
      <c r="O54" s="95" t="e">
        <f>(F59*(F$49/100))</f>
        <v>#DIV/0!</v>
      </c>
    </row>
    <row r="55" spans="2:15" ht="11.25">
      <c r="B55" s="27" t="s">
        <v>58</v>
      </c>
      <c r="C55" s="17"/>
      <c r="D55" s="17"/>
      <c r="E55" s="17"/>
      <c r="F55" s="10" t="e">
        <f>(AA41/G43)*100</f>
        <v>#DIV/0!</v>
      </c>
      <c r="G55" s="82">
        <v>0.6</v>
      </c>
      <c r="H55" s="28" t="e">
        <f t="shared" si="28"/>
        <v>#DIV/0!</v>
      </c>
      <c r="I55" s="10" t="s">
        <v>59</v>
      </c>
      <c r="J55" s="11">
        <f>AVERAGE(J53:J54)</f>
        <v>750</v>
      </c>
      <c r="L55" s="94" t="s">
        <v>140</v>
      </c>
      <c r="M55" s="10"/>
      <c r="N55" s="10" t="s">
        <v>136</v>
      </c>
      <c r="O55" s="95" t="e">
        <f>(F60*(F$49/100))</f>
        <v>#DIV/0!</v>
      </c>
    </row>
    <row r="56" spans="2:15" ht="12" thickBot="1">
      <c r="B56" s="27" t="s">
        <v>60</v>
      </c>
      <c r="C56" s="17"/>
      <c r="D56" s="17"/>
      <c r="E56" s="17"/>
      <c r="F56" s="10" t="e">
        <f>(AB41/G43)*100</f>
        <v>#DIV/0!</v>
      </c>
      <c r="G56" s="82">
        <v>18</v>
      </c>
      <c r="H56" s="28" t="e">
        <f t="shared" si="28"/>
        <v>#DIV/0!</v>
      </c>
      <c r="I56" s="10"/>
      <c r="J56" s="11"/>
      <c r="L56" s="96"/>
      <c r="M56" s="97"/>
      <c r="N56" s="97"/>
      <c r="O56" s="98"/>
    </row>
    <row r="57" spans="2:10" ht="12" thickTop="1">
      <c r="B57" s="27" t="s">
        <v>61</v>
      </c>
      <c r="C57" s="17"/>
      <c r="D57" s="17"/>
      <c r="E57" s="17"/>
      <c r="F57" s="10" t="e">
        <f>AC41/G43</f>
        <v>#DIV/0!</v>
      </c>
      <c r="G57" s="82">
        <v>0</v>
      </c>
      <c r="H57" s="28" t="e">
        <f t="shared" si="28"/>
        <v>#DIV/0!</v>
      </c>
      <c r="I57" s="10"/>
      <c r="J57" s="11"/>
    </row>
    <row r="58" spans="2:10" ht="11.25">
      <c r="B58" s="27" t="s">
        <v>62</v>
      </c>
      <c r="C58" s="17"/>
      <c r="D58" s="17"/>
      <c r="E58" s="17"/>
      <c r="F58" s="10" t="e">
        <f>AD41/G43</f>
        <v>#DIV/0!</v>
      </c>
      <c r="G58" s="82">
        <v>0</v>
      </c>
      <c r="H58" s="28" t="e">
        <f t="shared" si="28"/>
        <v>#DIV/0!</v>
      </c>
      <c r="I58" s="10" t="s">
        <v>63</v>
      </c>
      <c r="J58" s="11">
        <f>(J55*1)*0.03</f>
        <v>22.5</v>
      </c>
    </row>
    <row r="59" spans="2:20" ht="11.25">
      <c r="B59" s="27" t="s">
        <v>64</v>
      </c>
      <c r="C59" s="17"/>
      <c r="D59" s="17" t="s">
        <v>0</v>
      </c>
      <c r="E59" s="17"/>
      <c r="F59" s="10" t="e">
        <f>(AE41/G43)*100</f>
        <v>#DIV/0!</v>
      </c>
      <c r="G59" s="82">
        <v>4</v>
      </c>
      <c r="H59" s="28" t="e">
        <f t="shared" si="28"/>
        <v>#DIV/0!</v>
      </c>
      <c r="I59" s="19" t="s">
        <v>145</v>
      </c>
      <c r="J59" s="14"/>
      <c r="T59" s="1">
        <f>2000/32.11</f>
        <v>62.285892245406416</v>
      </c>
    </row>
    <row r="60" spans="2:20" ht="11.25">
      <c r="B60" s="27" t="s">
        <v>65</v>
      </c>
      <c r="C60" s="17"/>
      <c r="D60" s="17"/>
      <c r="E60" s="17"/>
      <c r="F60" s="10" t="e">
        <f>(AF41/G43)*100</f>
        <v>#DIV/0!</v>
      </c>
      <c r="G60" s="82">
        <v>0.25</v>
      </c>
      <c r="H60" s="28" t="e">
        <f t="shared" si="28"/>
        <v>#DIV/0!</v>
      </c>
      <c r="I60" s="1" t="s">
        <v>6</v>
      </c>
      <c r="J60" s="1" t="e">
        <f>(J58*1)/(F49/100)</f>
        <v>#DIV/0!</v>
      </c>
      <c r="T60" s="1">
        <f>T59*4</f>
        <v>249.14356898162566</v>
      </c>
    </row>
    <row r="61" spans="2:20" ht="11.25">
      <c r="B61" s="29" t="s">
        <v>66</v>
      </c>
      <c r="C61" s="3"/>
      <c r="D61" s="3"/>
      <c r="E61" s="3"/>
      <c r="F61" s="5">
        <v>0</v>
      </c>
      <c r="G61" s="83"/>
      <c r="H61" s="30">
        <f t="shared" si="28"/>
        <v>0</v>
      </c>
      <c r="I61" s="76"/>
      <c r="T61" s="1">
        <f>T60/16</f>
        <v>15.571473061351604</v>
      </c>
    </row>
    <row r="63" spans="2:15" ht="11.25">
      <c r="B63" s="2" t="s">
        <v>120</v>
      </c>
      <c r="M63" s="81">
        <f>(J55*1)/2.2</f>
        <v>340.9090909090909</v>
      </c>
      <c r="N63" s="81" t="s">
        <v>67</v>
      </c>
      <c r="O63" s="74"/>
    </row>
    <row r="65" spans="2:8" ht="11.25">
      <c r="B65" s="4" t="s">
        <v>68</v>
      </c>
      <c r="C65" s="3"/>
      <c r="D65" s="3"/>
      <c r="E65" s="17"/>
      <c r="G65" s="7" t="s">
        <v>69</v>
      </c>
      <c r="H65" s="5"/>
    </row>
    <row r="66" spans="2:8" ht="11.25">
      <c r="B66" s="77" t="s">
        <v>70</v>
      </c>
      <c r="C66" s="24"/>
      <c r="D66" s="26">
        <f>((M63)^0.75)*0.077</f>
        <v>6.108993486761662</v>
      </c>
      <c r="E66" s="10"/>
      <c r="G66" s="78" t="s">
        <v>71</v>
      </c>
      <c r="H66" s="26" t="e">
        <f>(J51/0.5)*100</f>
        <v>#DIV/0!</v>
      </c>
    </row>
    <row r="67" spans="2:8" ht="11.25">
      <c r="B67" s="27" t="s">
        <v>72</v>
      </c>
      <c r="C67" s="17"/>
      <c r="D67" s="28" t="e">
        <f>D66/(F57*1)</f>
        <v>#DIV/0!</v>
      </c>
      <c r="E67" s="10"/>
      <c r="G67" s="76" t="s">
        <v>73</v>
      </c>
      <c r="H67" s="28" t="e">
        <f>(J51/0.75)*100</f>
        <v>#DIV/0!</v>
      </c>
    </row>
    <row r="68" spans="2:8" ht="11.25">
      <c r="B68" s="27" t="s">
        <v>74</v>
      </c>
      <c r="C68" s="17"/>
      <c r="D68" s="28" t="e">
        <f>J58-D67</f>
        <v>#DIV/0!</v>
      </c>
      <c r="E68" s="10"/>
      <c r="G68" s="76" t="s">
        <v>75</v>
      </c>
      <c r="H68" s="28" t="e">
        <f>(J51/1)*100</f>
        <v>#DIV/0!</v>
      </c>
    </row>
    <row r="69" spans="2:8" ht="11.25">
      <c r="B69" s="27" t="s">
        <v>76</v>
      </c>
      <c r="C69" s="17"/>
      <c r="D69" s="28" t="e">
        <f>D68*(F58*1)</f>
        <v>#DIV/0!</v>
      </c>
      <c r="E69" s="10"/>
      <c r="G69" s="76" t="s">
        <v>77</v>
      </c>
      <c r="H69" s="28" t="e">
        <f>(J51/1.25)*100</f>
        <v>#DIV/0!</v>
      </c>
    </row>
    <row r="70" spans="2:8" ht="11.25">
      <c r="B70" s="27" t="s">
        <v>78</v>
      </c>
      <c r="C70" s="17"/>
      <c r="D70" s="28" t="e">
        <f>13.91*(D69*1)^0.9116*(M63*1)^-0.68372*2.2</f>
        <v>#DIV/0!</v>
      </c>
      <c r="E70" s="10"/>
      <c r="G70" s="76" t="s">
        <v>79</v>
      </c>
      <c r="H70" s="28" t="e">
        <f>(J51/1.5)*100</f>
        <v>#DIV/0!</v>
      </c>
    </row>
    <row r="71" spans="2:10" ht="11.25">
      <c r="B71" s="27" t="s">
        <v>149</v>
      </c>
      <c r="C71" s="17"/>
      <c r="D71" s="28" t="e">
        <f>(J54-J53)/D70</f>
        <v>#DIV/0!</v>
      </c>
      <c r="E71" s="17"/>
      <c r="G71" s="76" t="s">
        <v>80</v>
      </c>
      <c r="H71" s="28" t="e">
        <f>(J51/1.75)*100</f>
        <v>#DIV/0!</v>
      </c>
      <c r="J71" s="1" t="s">
        <v>102</v>
      </c>
    </row>
    <row r="72" spans="2:8" ht="11.25">
      <c r="B72" s="27" t="s">
        <v>81</v>
      </c>
      <c r="C72" s="17"/>
      <c r="D72" s="28" t="e">
        <f>D70*0.9</f>
        <v>#DIV/0!</v>
      </c>
      <c r="E72" s="10"/>
      <c r="G72" s="76" t="s">
        <v>82</v>
      </c>
      <c r="H72" s="28" t="e">
        <f>(J51/2)*100</f>
        <v>#DIV/0!</v>
      </c>
    </row>
    <row r="73" spans="2:8" ht="11.25">
      <c r="B73" s="29" t="s">
        <v>83</v>
      </c>
      <c r="C73" s="3"/>
      <c r="D73" s="30" t="e">
        <f>D70*1.1</f>
        <v>#DIV/0!</v>
      </c>
      <c r="E73" s="10"/>
      <c r="G73" s="76" t="s">
        <v>84</v>
      </c>
      <c r="H73" s="28" t="e">
        <f>(J51/2.25)*100</f>
        <v>#DIV/0!</v>
      </c>
    </row>
    <row r="74" spans="7:8" ht="11.25">
      <c r="G74" s="76" t="s">
        <v>85</v>
      </c>
      <c r="H74" s="28" t="e">
        <f>(J51/2.5)*100</f>
        <v>#DIV/0!</v>
      </c>
    </row>
    <row r="75" spans="7:8" ht="11.25">
      <c r="G75" s="76" t="s">
        <v>86</v>
      </c>
      <c r="H75" s="28" t="e">
        <f>(J51/2.75)*100</f>
        <v>#DIV/0!</v>
      </c>
    </row>
    <row r="76" spans="7:8" ht="11.25">
      <c r="G76" s="76" t="s">
        <v>87</v>
      </c>
      <c r="H76" s="28" t="e">
        <f>(J51/3)*100</f>
        <v>#DIV/0!</v>
      </c>
    </row>
    <row r="77" spans="7:8" ht="11.25">
      <c r="G77" s="76" t="s">
        <v>88</v>
      </c>
      <c r="H77" s="28" t="e">
        <f>(J51/3.25)*100</f>
        <v>#DIV/0!</v>
      </c>
    </row>
    <row r="78" spans="7:8" ht="11.25">
      <c r="G78" s="79" t="s">
        <v>89</v>
      </c>
      <c r="H78" s="30" t="e">
        <f>(J51/D70)*100</f>
        <v>#DIV/0!</v>
      </c>
    </row>
    <row r="82" spans="2:5" ht="11.25">
      <c r="B82" s="9" t="s">
        <v>97</v>
      </c>
      <c r="C82" s="9"/>
      <c r="D82" s="9"/>
      <c r="E82" s="9"/>
    </row>
    <row r="83" spans="2:12" ht="11.25">
      <c r="B83" s="80" t="s">
        <v>93</v>
      </c>
      <c r="C83" s="42"/>
      <c r="D83" s="42"/>
      <c r="E83" s="42"/>
      <c r="F83" s="39"/>
      <c r="G83" s="39"/>
      <c r="H83" s="39"/>
      <c r="I83" s="39"/>
      <c r="J83" s="39"/>
      <c r="K83" s="39"/>
      <c r="L83" s="31"/>
    </row>
    <row r="84" spans="2:12" ht="11.25">
      <c r="B84" s="69" t="s">
        <v>94</v>
      </c>
      <c r="C84" s="17"/>
      <c r="D84" s="17"/>
      <c r="E84" s="17"/>
      <c r="F84" s="10"/>
      <c r="G84" s="10"/>
      <c r="H84" s="10"/>
      <c r="I84" s="10"/>
      <c r="J84" s="10"/>
      <c r="K84" s="10"/>
      <c r="L84" s="11"/>
    </row>
    <row r="85" spans="2:12" ht="11.25">
      <c r="B85" s="69" t="s">
        <v>95</v>
      </c>
      <c r="C85" s="17"/>
      <c r="D85" s="17"/>
      <c r="E85" s="17"/>
      <c r="F85" s="10"/>
      <c r="G85" s="10"/>
      <c r="H85" s="10"/>
      <c r="I85" s="10"/>
      <c r="J85" s="10"/>
      <c r="K85" s="10"/>
      <c r="L85" s="11"/>
    </row>
    <row r="86" spans="2:12" ht="11.25">
      <c r="B86" s="69" t="s">
        <v>99</v>
      </c>
      <c r="C86" s="17"/>
      <c r="D86" s="17"/>
      <c r="E86" s="17"/>
      <c r="F86" s="10"/>
      <c r="G86" s="10"/>
      <c r="H86" s="10"/>
      <c r="I86" s="10"/>
      <c r="J86" s="10"/>
      <c r="K86" s="10"/>
      <c r="L86" s="11"/>
    </row>
    <row r="87" spans="2:12" ht="11.25">
      <c r="B87" s="69" t="s">
        <v>96</v>
      </c>
      <c r="C87" s="17"/>
      <c r="D87" s="17"/>
      <c r="E87" s="17"/>
      <c r="F87" s="10"/>
      <c r="G87" s="10"/>
      <c r="H87" s="10"/>
      <c r="I87" s="10"/>
      <c r="J87" s="10"/>
      <c r="K87" s="10"/>
      <c r="L87" s="11"/>
    </row>
    <row r="88" spans="2:12" ht="11.25">
      <c r="B88" s="69" t="s">
        <v>91</v>
      </c>
      <c r="C88" s="17"/>
      <c r="D88" s="17"/>
      <c r="E88" s="17"/>
      <c r="F88" s="10"/>
      <c r="G88" s="10"/>
      <c r="H88" s="10"/>
      <c r="I88" s="10"/>
      <c r="J88" s="10"/>
      <c r="K88" s="10"/>
      <c r="L88" s="11"/>
    </row>
    <row r="89" spans="2:12" ht="11.25">
      <c r="B89" s="69" t="s">
        <v>98</v>
      </c>
      <c r="C89" s="17"/>
      <c r="D89" s="17"/>
      <c r="E89" s="17"/>
      <c r="F89" s="10"/>
      <c r="G89" s="10"/>
      <c r="H89" s="10"/>
      <c r="I89" s="10"/>
      <c r="J89" s="10"/>
      <c r="K89" s="10"/>
      <c r="L89" s="11"/>
    </row>
    <row r="90" spans="2:12" ht="11.25">
      <c r="B90" s="69" t="s">
        <v>92</v>
      </c>
      <c r="C90" s="17"/>
      <c r="D90" s="17"/>
      <c r="E90" s="17"/>
      <c r="F90" s="10"/>
      <c r="G90" s="10"/>
      <c r="H90" s="10"/>
      <c r="I90" s="10"/>
      <c r="J90" s="10"/>
      <c r="K90" s="10"/>
      <c r="L90" s="11"/>
    </row>
    <row r="91" spans="2:12" ht="11.25">
      <c r="B91" s="44" t="s">
        <v>100</v>
      </c>
      <c r="C91" s="18"/>
      <c r="D91" s="18"/>
      <c r="E91" s="18"/>
      <c r="F91" s="19"/>
      <c r="G91" s="19"/>
      <c r="H91" s="19"/>
      <c r="I91" s="19"/>
      <c r="J91" s="19"/>
      <c r="K91" s="19"/>
      <c r="L91" s="14"/>
    </row>
  </sheetData>
  <sheetProtection password="829C" sheet="1"/>
  <mergeCells count="14">
    <mergeCell ref="B21:C21"/>
    <mergeCell ref="B22:C22"/>
    <mergeCell ref="B32:C32"/>
    <mergeCell ref="B31:C31"/>
    <mergeCell ref="L47:O47"/>
    <mergeCell ref="L48:O48"/>
    <mergeCell ref="B38:C38"/>
    <mergeCell ref="L4:P4"/>
    <mergeCell ref="B23:C23"/>
    <mergeCell ref="B25:C25"/>
    <mergeCell ref="B26:C26"/>
    <mergeCell ref="B28:C28"/>
    <mergeCell ref="B17:C17"/>
    <mergeCell ref="B18:C18"/>
  </mergeCells>
  <printOptions gridLines="1"/>
  <pageMargins left="0.75" right="0.75" top="1" bottom="1" header="0.5" footer="0.5"/>
  <pageSetup fitToHeight="1" fitToWidth="1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Ration Evaluator</dc:title>
  <dc:subject/>
  <dc:creator>Dr. John C. Waller</dc:creator>
  <cp:keywords/>
  <dc:description/>
  <cp:lastModifiedBy>Will Elliott</cp:lastModifiedBy>
  <cp:lastPrinted>2009-09-14T14:41:35Z</cp:lastPrinted>
  <dcterms:created xsi:type="dcterms:W3CDTF">2001-03-27T21:19:09Z</dcterms:created>
  <dcterms:modified xsi:type="dcterms:W3CDTF">2018-04-19T14:17:15Z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1893528007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agray13@utk.edu</vt:lpwstr>
  </property>
  <property fmtid="{D5CDD505-2E9C-101B-9397-08002B2CF9AE}" pid="6" name="_AuthorEmailDisplayName">
    <vt:lpwstr>Gray, Autumn Nicole</vt:lpwstr>
  </property>
  <property fmtid="{D5CDD505-2E9C-101B-9397-08002B2CF9AE}" pid="7" name="_ReviewingToolsShownOnce">
    <vt:lpwstr/>
  </property>
</Properties>
</file>